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enson\Documents\00 Swenson Files\Capstone\"/>
    </mc:Choice>
  </mc:AlternateContent>
  <xr:revisionPtr revIDLastSave="0" documentId="13_ncr:1_{8C846C9D-FC46-4B45-9E09-3C4F695195CD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Template" sheetId="4" r:id="rId1"/>
    <sheet name="Product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3" l="1"/>
  <c r="O72" i="3" s="1"/>
  <c r="O34" i="3"/>
  <c r="N36" i="3"/>
  <c r="O40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21" i="4"/>
  <c r="O20" i="4"/>
  <c r="O19" i="4"/>
  <c r="O15" i="4"/>
  <c r="O14" i="4"/>
  <c r="O13" i="4"/>
  <c r="O12" i="4"/>
  <c r="O11" i="4"/>
  <c r="O10" i="4"/>
  <c r="O9" i="4"/>
  <c r="O8" i="4"/>
  <c r="O7" i="4"/>
  <c r="U6" i="4"/>
  <c r="O6" i="4"/>
  <c r="O31" i="3"/>
  <c r="I11" i="3"/>
  <c r="J11" i="3" s="1"/>
  <c r="N11" i="3" s="1"/>
  <c r="O11" i="3" s="1"/>
  <c r="I10" i="3"/>
  <c r="J10" i="3" s="1"/>
  <c r="N10" i="3" s="1"/>
  <c r="O10" i="3" s="1"/>
  <c r="O70" i="3"/>
  <c r="O60" i="3"/>
  <c r="N66" i="3"/>
  <c r="O66" i="3" s="1"/>
  <c r="J30" i="3"/>
  <c r="N30" i="3" s="1"/>
  <c r="O30" i="3" s="1"/>
  <c r="J29" i="3"/>
  <c r="N29" i="3" s="1"/>
  <c r="O29" i="3" s="1"/>
  <c r="J28" i="3"/>
  <c r="N28" i="3" s="1"/>
  <c r="O28" i="3" s="1"/>
  <c r="I9" i="3"/>
  <c r="J9" i="3" s="1"/>
  <c r="N9" i="3" s="1"/>
  <c r="O9" i="3" s="1"/>
  <c r="J22" i="3"/>
  <c r="J25" i="3"/>
  <c r="J24" i="3"/>
  <c r="J23" i="3"/>
  <c r="J14" i="3"/>
  <c r="N14" i="3" s="1"/>
  <c r="O14" i="3" s="1"/>
  <c r="J13" i="3"/>
  <c r="N13" i="3" s="1"/>
  <c r="O13" i="3" s="1"/>
  <c r="O59" i="3"/>
  <c r="J16" i="3"/>
  <c r="N16" i="3" s="1"/>
  <c r="O16" i="3" s="1"/>
  <c r="J15" i="3"/>
  <c r="N15" i="3" s="1"/>
  <c r="O15" i="3" s="1"/>
  <c r="J12" i="3"/>
  <c r="O65" i="3"/>
  <c r="I7" i="3"/>
  <c r="J7" i="3" s="1"/>
  <c r="N7" i="3" s="1"/>
  <c r="O7" i="3" s="1"/>
  <c r="N64" i="3"/>
  <c r="O64" i="3" s="1"/>
  <c r="I6" i="3"/>
  <c r="J6" i="3" s="1"/>
  <c r="N6" i="3" s="1"/>
  <c r="O6" i="3" s="1"/>
  <c r="I8" i="3"/>
  <c r="J8" i="3" s="1"/>
  <c r="N8" i="3" s="1"/>
  <c r="O8" i="3" s="1"/>
  <c r="N67" i="3"/>
  <c r="O67" i="3" s="1"/>
  <c r="N19" i="3"/>
  <c r="O19" i="3" s="1"/>
  <c r="N12" i="3"/>
  <c r="O12" i="3" s="1"/>
  <c r="J48" i="3"/>
  <c r="J47" i="3"/>
  <c r="J46" i="3"/>
  <c r="J42" i="3"/>
  <c r="O56" i="3"/>
  <c r="O63" i="3"/>
  <c r="O42" i="3"/>
  <c r="O17" i="3"/>
  <c r="N50" i="3"/>
  <c r="O50" i="3" s="1"/>
  <c r="O32" i="3"/>
  <c r="O22" i="3"/>
  <c r="O18" i="3"/>
  <c r="O55" i="3"/>
  <c r="O61" i="3"/>
  <c r="O62" i="3"/>
  <c r="O54" i="3"/>
  <c r="O53" i="3"/>
  <c r="O58" i="3"/>
  <c r="O57" i="3"/>
  <c r="O52" i="3"/>
  <c r="O51" i="3"/>
  <c r="O45" i="3"/>
  <c r="O41" i="3"/>
  <c r="O40" i="3"/>
  <c r="O37" i="3"/>
  <c r="O35" i="3"/>
  <c r="O25" i="3"/>
  <c r="O24" i="3"/>
  <c r="O23" i="3"/>
  <c r="O48" i="3"/>
  <c r="O47" i="3"/>
  <c r="O49" i="3"/>
  <c r="O46" i="3"/>
  <c r="O18" i="4" l="1"/>
  <c r="O23" i="4"/>
  <c r="O5" i="4"/>
  <c r="O39" i="3"/>
  <c r="O5" i="3"/>
  <c r="O21" i="3"/>
  <c r="O44" i="3"/>
  <c r="O36" i="3"/>
  <c r="O4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Swenson</author>
    <author>Swenson, Matthew (swenson@uidaho.edu)</author>
  </authors>
  <commentList>
    <comment ref="L2" authorId="0" shapeId="0" xr:uid="{824E7C48-36D0-416F-8F8E-1D6D694CCDF3}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Do you have the drawing completed, enabling manufacture of the part?</t>
        </r>
      </text>
    </comment>
    <comment ref="N2" authorId="1" shapeId="0" xr:uid="{59ECFAE2-FF97-4791-B891-65522318F35D}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= the cost for 1 part</t>
        </r>
      </text>
    </comment>
    <comment ref="O2" authorId="1" shapeId="0" xr:uid="{878898C9-553C-4FAE-95C2-C6100E84F819}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= the </t>
        </r>
        <r>
          <rPr>
            <u/>
            <sz val="9"/>
            <color indexed="81"/>
            <rFont val="Tahoma"/>
            <family val="2"/>
          </rPr>
          <t>Unit Cost</t>
        </r>
        <r>
          <rPr>
            <sz val="9"/>
            <color indexed="81"/>
            <rFont val="Tahoma"/>
            <family val="2"/>
          </rPr>
          <t xml:space="preserve"> x the </t>
        </r>
        <r>
          <rPr>
            <u/>
            <sz val="9"/>
            <color indexed="81"/>
            <rFont val="Tahoma"/>
            <family val="2"/>
          </rPr>
          <t>Quantify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Swenson</author>
    <author>Swenson, Matthew (swenson@uidaho.edu)</author>
  </authors>
  <commentList>
    <comment ref="L2" authorId="0" shapeId="0" xr:uid="{40260AEC-E36C-4295-A18D-5C9E81A4E754}">
      <text>
        <r>
          <rPr>
            <b/>
            <sz val="9"/>
            <color indexed="81"/>
            <rFont val="Tahoma"/>
            <family val="2"/>
          </rPr>
          <t>Matthew Swenson:</t>
        </r>
        <r>
          <rPr>
            <sz val="9"/>
            <color indexed="81"/>
            <rFont val="Tahoma"/>
            <family val="2"/>
          </rPr>
          <t xml:space="preserve">
Do you have the drawing completed, enabling manufacture of the part?</t>
        </r>
      </text>
    </comment>
    <comment ref="N2" authorId="1" shapeId="0" xr:uid="{520D6CFF-01F4-4587-AEEF-3FF154EAA818}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= the cost for 1 part</t>
        </r>
      </text>
    </comment>
    <comment ref="O2" authorId="1" shapeId="0" xr:uid="{1CAB9C64-EFCD-4DFA-B237-F68BFBABC2FC}">
      <text>
        <r>
          <rPr>
            <b/>
            <sz val="9"/>
            <color indexed="81"/>
            <rFont val="Tahoma"/>
            <family val="2"/>
          </rPr>
          <t>Swenson, Matthew (swenson@uidaho.edu):</t>
        </r>
        <r>
          <rPr>
            <sz val="9"/>
            <color indexed="81"/>
            <rFont val="Tahoma"/>
            <family val="2"/>
          </rPr>
          <t xml:space="preserve">
= the </t>
        </r>
        <r>
          <rPr>
            <u/>
            <sz val="9"/>
            <color indexed="81"/>
            <rFont val="Tahoma"/>
            <family val="2"/>
          </rPr>
          <t>Unit Cost</t>
        </r>
        <r>
          <rPr>
            <sz val="9"/>
            <color indexed="81"/>
            <rFont val="Tahoma"/>
            <family val="2"/>
          </rPr>
          <t xml:space="preserve"> x the </t>
        </r>
        <r>
          <rPr>
            <u/>
            <sz val="9"/>
            <color indexed="81"/>
            <rFont val="Tahoma"/>
            <family val="2"/>
          </rPr>
          <t>Quantify</t>
        </r>
      </text>
    </comment>
  </commentList>
</comments>
</file>

<file path=xl/sharedStrings.xml><?xml version="1.0" encoding="utf-8"?>
<sst xmlns="http://schemas.openxmlformats.org/spreadsheetml/2006/main" count="621" uniqueCount="204">
  <si>
    <r>
      <rPr>
        <b/>
        <u/>
        <sz val="11"/>
        <color theme="1"/>
        <rFont val="Calibri"/>
        <family val="2"/>
        <scheme val="minor"/>
      </rPr>
      <t>Indented</t>
    </r>
    <r>
      <rPr>
        <b/>
        <sz val="11"/>
        <color theme="1"/>
        <rFont val="Calibri"/>
        <family val="2"/>
        <scheme val="minor"/>
      </rPr>
      <t xml:space="preserve"> Bill of Materials (BOM)</t>
    </r>
  </si>
  <si>
    <t>Manufacturing Plan</t>
  </si>
  <si>
    <t>Cost</t>
  </si>
  <si>
    <t>Part Number</t>
  </si>
  <si>
    <t>Description</t>
  </si>
  <si>
    <t>Qty</t>
  </si>
  <si>
    <t>Material</t>
  </si>
  <si>
    <t>Make or Buy?</t>
  </si>
  <si>
    <t>Source</t>
  </si>
  <si>
    <t>Fabrication
Technique</t>
  </si>
  <si>
    <t>Ordered</t>
  </si>
  <si>
    <t>Avail.</t>
  </si>
  <si>
    <t>Unit Cost ($)</t>
  </si>
  <si>
    <t>Extended Cost ($)</t>
  </si>
  <si>
    <t>Make</t>
  </si>
  <si>
    <t>Weld</t>
  </si>
  <si>
    <t>Side frame rail</t>
  </si>
  <si>
    <t>ME Shop</t>
  </si>
  <si>
    <t>Saw/Drill</t>
  </si>
  <si>
    <t>Cross member</t>
  </si>
  <si>
    <t>JML/ME Shop</t>
  </si>
  <si>
    <t>Plasma</t>
  </si>
  <si>
    <t>Spring Pilot</t>
  </si>
  <si>
    <t>Coupling</t>
  </si>
  <si>
    <t>Inner Plate</t>
  </si>
  <si>
    <t>Wrap Plate</t>
  </si>
  <si>
    <t>Outer Plate</t>
  </si>
  <si>
    <t>Assembly</t>
  </si>
  <si>
    <t>-</t>
  </si>
  <si>
    <t>Buy</t>
  </si>
  <si>
    <t>Amazon</t>
  </si>
  <si>
    <t>Yes</t>
  </si>
  <si>
    <t>TIRE20SM</t>
  </si>
  <si>
    <t>Kenda Kontact 20" x 1.95" Black Tire (Pair)</t>
  </si>
  <si>
    <t>TUBE20</t>
  </si>
  <si>
    <t>Bell 20" Inner Tube</t>
  </si>
  <si>
    <t>365</t>
  </si>
  <si>
    <t>WHEEL20</t>
  </si>
  <si>
    <t>Wheel Master 20" x 1.75" Wheel</t>
  </si>
  <si>
    <t>390</t>
  </si>
  <si>
    <t>Tongue</t>
  </si>
  <si>
    <t>391</t>
  </si>
  <si>
    <t>Extension tube</t>
  </si>
  <si>
    <t>Saw</t>
  </si>
  <si>
    <t>392</t>
  </si>
  <si>
    <t>Connection tube</t>
  </si>
  <si>
    <t>Additional parts</t>
  </si>
  <si>
    <t>Torsion Axle</t>
  </si>
  <si>
    <t>McMaster Carr</t>
  </si>
  <si>
    <t>402</t>
  </si>
  <si>
    <t>Spring Tie Rod (1/4-20) - Zinc-plated</t>
  </si>
  <si>
    <t>1/4"-20 All thr ZP</t>
  </si>
  <si>
    <t>McM300</t>
  </si>
  <si>
    <t>Compression Spring (96485K135)</t>
  </si>
  <si>
    <t>McMaster-Carr</t>
  </si>
  <si>
    <t>FW5-0.25</t>
  </si>
  <si>
    <t>N5-NYL-0.25-20</t>
  </si>
  <si>
    <t>Gr 5 Steel Nylon-Insert Locknut 1/4"-20</t>
  </si>
  <si>
    <t>HEXB5-0.25-20X1.25</t>
  </si>
  <si>
    <t>Gr 5 Steel Hex Head Screw 1/4"-20 x 1-1/4"</t>
  </si>
  <si>
    <t>SEAT100</t>
  </si>
  <si>
    <t>Wise 8WD734PLS-664 Low Back Boat Seat, Grey/Charcoal</t>
  </si>
  <si>
    <t>BATT100</t>
  </si>
  <si>
    <t>48V Ebike Battery 10 Ah</t>
  </si>
  <si>
    <t>Amazon.com : 48V Ebike Battery 10AH 15AH 20AH Lithium Ion Pack with 3A Lithium Charger and 30A BMS for 250W-1200W Motor (48V 10AH) : Sports &amp; Outdoors</t>
  </si>
  <si>
    <t>PAINT100</t>
  </si>
  <si>
    <t>MBS</t>
  </si>
  <si>
    <t>SCOT100</t>
  </si>
  <si>
    <t>Scotch-Brite Pads</t>
  </si>
  <si>
    <t>Sand</t>
  </si>
  <si>
    <t>COUP100</t>
  </si>
  <si>
    <t>Bike Trailer Spring Coupling</t>
  </si>
  <si>
    <t>Labor</t>
  </si>
  <si>
    <t>hours</t>
  </si>
  <si>
    <t>BOM</t>
  </si>
  <si>
    <t>Length/
Area
(ft/sqft)</t>
  </si>
  <si>
    <t>Total Length/Area
(ft/sqft)</t>
  </si>
  <si>
    <t>Dwg
Avail.?</t>
  </si>
  <si>
    <t>BSP500W</t>
  </si>
  <si>
    <t>501</t>
  </si>
  <si>
    <t>Assembly/Screw</t>
  </si>
  <si>
    <t>Started</t>
  </si>
  <si>
    <t>Done</t>
  </si>
  <si>
    <t>502</t>
  </si>
  <si>
    <t>Sq 2 x 2 Wood</t>
  </si>
  <si>
    <t>per stick</t>
  </si>
  <si>
    <t>for 3</t>
  </si>
  <si>
    <t>513</t>
  </si>
  <si>
    <t>Seat rail</t>
  </si>
  <si>
    <t>503</t>
  </si>
  <si>
    <t>504</t>
  </si>
  <si>
    <t>Seat brace</t>
  </si>
  <si>
    <t>Saw (Angles)</t>
  </si>
  <si>
    <t>511</t>
  </si>
  <si>
    <t>Seat riser</t>
  </si>
  <si>
    <t>514</t>
  </si>
  <si>
    <t>Front floor brace</t>
  </si>
  <si>
    <t>507</t>
  </si>
  <si>
    <t>Truck mount</t>
  </si>
  <si>
    <t>1/4" Plywood</t>
  </si>
  <si>
    <t>MBS/ME Shop</t>
  </si>
  <si>
    <t>Laser</t>
  </si>
  <si>
    <t>6.5" x 23"</t>
  </si>
  <si>
    <t>Yes/dxf</t>
  </si>
  <si>
    <t>Can do (1) 4' x 4' sheet =</t>
  </si>
  <si>
    <t>508</t>
  </si>
  <si>
    <t>Seat mount</t>
  </si>
  <si>
    <t>17" x 23"</t>
  </si>
  <si>
    <t>509</t>
  </si>
  <si>
    <t>Kick plate</t>
  </si>
  <si>
    <t>10" x 21"</t>
  </si>
  <si>
    <t>505</t>
  </si>
  <si>
    <t>Front floor</t>
  </si>
  <si>
    <t>14-5/8" x 23"</t>
  </si>
  <si>
    <t>510</t>
  </si>
  <si>
    <t>Middle floor plate</t>
  </si>
  <si>
    <t>11.375" x 23"</t>
  </si>
  <si>
    <t>GLUE100</t>
  </si>
  <si>
    <t>Wood Glue</t>
  </si>
  <si>
    <t>Glue</t>
  </si>
  <si>
    <t>WSCR8-1.63</t>
  </si>
  <si>
    <t>Screw Wood #8 x 1-5/8" long</t>
  </si>
  <si>
    <t>Wood screws</t>
  </si>
  <si>
    <t>WSCR8-3.00</t>
  </si>
  <si>
    <t>Screw Wood #8 x 3" long</t>
  </si>
  <si>
    <t>520/525</t>
  </si>
  <si>
    <t>Rocker arm RH/LH</t>
  </si>
  <si>
    <t>Facilities</t>
  </si>
  <si>
    <t>517</t>
  </si>
  <si>
    <t>Al Tube 1.25 x 1.00</t>
  </si>
  <si>
    <t>Saw/Drill/Bore</t>
  </si>
  <si>
    <t>3/4"</t>
  </si>
  <si>
    <t>521</t>
  </si>
  <si>
    <t>Rocker arm</t>
  </si>
  <si>
    <t>Alum. Pl. 1/4"</t>
  </si>
  <si>
    <t>Facilities/ME Shop</t>
  </si>
  <si>
    <t>3" x 21"</t>
  </si>
  <si>
    <t>522</t>
  </si>
  <si>
    <t>Rocker flange</t>
  </si>
  <si>
    <t>5" x 13"</t>
  </si>
  <si>
    <t>523</t>
  </si>
  <si>
    <t>Spring plate</t>
  </si>
  <si>
    <t>4" x 3"</t>
  </si>
  <si>
    <t>540/550</t>
  </si>
  <si>
    <t>Fender RH/LH</t>
  </si>
  <si>
    <t>541</t>
  </si>
  <si>
    <t>12" x 24"</t>
  </si>
  <si>
    <t>543</t>
  </si>
  <si>
    <t>542</t>
  </si>
  <si>
    <t>5" x 7"</t>
  </si>
  <si>
    <t>544</t>
  </si>
  <si>
    <t>Wrap</t>
  </si>
  <si>
    <t>18 ga Steel</t>
  </si>
  <si>
    <t>Plasma/Bend</t>
  </si>
  <si>
    <t>33.1 x 7.5"</t>
  </si>
  <si>
    <t>dxf</t>
  </si>
  <si>
    <t>Al Tube 1 x 0.75</t>
  </si>
  <si>
    <t>393</t>
  </si>
  <si>
    <t>Tongue gusset</t>
  </si>
  <si>
    <t>1" x 3"</t>
  </si>
  <si>
    <t>600</t>
  </si>
  <si>
    <t>512</t>
  </si>
  <si>
    <t>Axle Mount - outer</t>
  </si>
  <si>
    <t>515</t>
  </si>
  <si>
    <t>Spring Mount</t>
  </si>
  <si>
    <t>4" x 2.5"</t>
  </si>
  <si>
    <t>516</t>
  </si>
  <si>
    <t>2" x 2"</t>
  </si>
  <si>
    <t>602</t>
  </si>
  <si>
    <t>Tongue mount - U-bracket</t>
  </si>
  <si>
    <t>Al Sq Tube 1.25 x 0.125 wall</t>
  </si>
  <si>
    <t>Saw/Drill/Mill</t>
  </si>
  <si>
    <t>6.5" long</t>
  </si>
  <si>
    <t>SLBE500</t>
  </si>
  <si>
    <t>HL OE Flanged Sleeve Bearings for 1" (2938T59)</t>
  </si>
  <si>
    <t>Bore</t>
  </si>
  <si>
    <t>Paint Yellow</t>
  </si>
  <si>
    <t>Amazon.com : Sikawai Universal Bike Bicycle Trailer Coupler Attachment,Bike Trailer Hitch Linker Connector,Cycling Adapter Accessories for Child/Pet Cargo Bike Trailers : Sports &amp; Outdoors</t>
  </si>
  <si>
    <t>ZIP100</t>
  </si>
  <si>
    <t>Zip Tie x 18" Long</t>
  </si>
  <si>
    <t>Ace Hardware</t>
  </si>
  <si>
    <t>ME Shop/MBS</t>
  </si>
  <si>
    <t>HEXB5-0.25-20X2.25</t>
  </si>
  <si>
    <t>Gr 5 Steel Hex Head Screw 1/4"-20 x 2-1/4"</t>
  </si>
  <si>
    <t>LW5-0.25</t>
  </si>
  <si>
    <t>Zinc-plated Grade 5 Steel Lock Washer 1/4"</t>
  </si>
  <si>
    <t>Seat mounting</t>
  </si>
  <si>
    <t>Paint (Rust-Oleum) - Gloss Black</t>
  </si>
  <si>
    <t>Spence</t>
  </si>
  <si>
    <t>PAINT101</t>
  </si>
  <si>
    <t>Paint (Rust-Oleum) - SunBurst Yellow</t>
  </si>
  <si>
    <t>LPIN-0.25X1.25</t>
  </si>
  <si>
    <t>Lynch Pin (1/4" x 1.25")</t>
  </si>
  <si>
    <t>XPIN-0.25X1.75</t>
  </si>
  <si>
    <t>PIN (1/4" x 1.75")</t>
  </si>
  <si>
    <t>Zinc plated Grade 5 Steel Flat Washer 1/4"</t>
  </si>
  <si>
    <t>Walmart</t>
  </si>
  <si>
    <t>BRACK100</t>
  </si>
  <si>
    <t>Fender bracket (with screws)</t>
  </si>
  <si>
    <t>Bracket</t>
  </si>
  <si>
    <t>Frame</t>
  </si>
  <si>
    <t>Subassembly</t>
  </si>
  <si>
    <t>rate</t>
  </si>
  <si>
    <t>Wheel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</si>
</sst>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37562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4" fontId="1" fillId="2" borderId="0" xfId="0" applyNumberFormat="1" applyFont="1" applyFill="1"/>
    <xf numFmtId="0" fontId="1" fillId="0" borderId="1" xfId="0" applyFont="1" applyBorder="1"/>
    <xf numFmtId="0" fontId="0" fillId="0" borderId="9" xfId="0" applyBorder="1"/>
    <xf numFmtId="0" fontId="8" fillId="0" borderId="0" xfId="0" applyFont="1"/>
    <xf numFmtId="0" fontId="10" fillId="0" borderId="0" xfId="0" applyFont="1"/>
    <xf numFmtId="49" fontId="1" fillId="0" borderId="1" xfId="0" applyNumberFormat="1" applyFont="1" applyBorder="1" applyAlignment="1">
      <alignment horizontal="left"/>
    </xf>
    <xf numFmtId="44" fontId="1" fillId="0" borderId="1" xfId="1" applyFont="1" applyFill="1" applyBorder="1"/>
    <xf numFmtId="0" fontId="0" fillId="2" borderId="0" xfId="0" applyFill="1"/>
    <xf numFmtId="0" fontId="10" fillId="0" borderId="1" xfId="0" applyFont="1" applyBorder="1"/>
    <xf numFmtId="0" fontId="9" fillId="0" borderId="0" xfId="0" applyFont="1"/>
    <xf numFmtId="44" fontId="10" fillId="0" borderId="9" xfId="1" applyFont="1" applyFill="1" applyBorder="1"/>
    <xf numFmtId="0" fontId="0" fillId="0" borderId="9" xfId="0" applyBorder="1" applyAlignment="1">
      <alignment horizontal="center"/>
    </xf>
    <xf numFmtId="0" fontId="9" fillId="0" borderId="9" xfId="0" applyFont="1" applyBorder="1"/>
    <xf numFmtId="44" fontId="6" fillId="0" borderId="9" xfId="1" applyFont="1" applyFill="1" applyBorder="1"/>
    <xf numFmtId="0" fontId="0" fillId="0" borderId="9" xfId="0" applyBorder="1" applyAlignment="1">
      <alignment horizontal="left"/>
    </xf>
    <xf numFmtId="44" fontId="6" fillId="0" borderId="8" xfId="1" applyFont="1" applyFill="1" applyBorder="1"/>
    <xf numFmtId="44" fontId="1" fillId="0" borderId="0" xfId="1" applyFont="1" applyFill="1" applyBorder="1"/>
    <xf numFmtId="44" fontId="10" fillId="0" borderId="8" xfId="1" applyFont="1" applyFill="1" applyBorder="1"/>
    <xf numFmtId="49" fontId="9" fillId="0" borderId="9" xfId="0" applyNumberFormat="1" applyFont="1" applyBorder="1" applyAlignment="1">
      <alignment horizontal="left" indent="2"/>
    </xf>
    <xf numFmtId="44" fontId="9" fillId="0" borderId="9" xfId="1" applyFont="1" applyFill="1" applyBorder="1"/>
    <xf numFmtId="0" fontId="14" fillId="0" borderId="0" xfId="2"/>
    <xf numFmtId="0" fontId="15" fillId="0" borderId="0" xfId="0" applyFont="1"/>
    <xf numFmtId="0" fontId="16" fillId="0" borderId="0" xfId="2" applyFont="1"/>
    <xf numFmtId="2" fontId="9" fillId="0" borderId="0" xfId="0" applyNumberFormat="1" applyFont="1"/>
    <xf numFmtId="2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2" fontId="10" fillId="0" borderId="0" xfId="0" applyNumberFormat="1" applyFont="1"/>
    <xf numFmtId="0" fontId="12" fillId="0" borderId="9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 indent="4"/>
    </xf>
    <xf numFmtId="0" fontId="0" fillId="0" borderId="9" xfId="0" applyFill="1" applyBorder="1"/>
    <xf numFmtId="0" fontId="13" fillId="0" borderId="9" xfId="0" applyFont="1" applyFill="1" applyBorder="1"/>
    <xf numFmtId="0" fontId="12" fillId="0" borderId="9" xfId="0" applyFont="1" applyFill="1" applyBorder="1"/>
    <xf numFmtId="166" fontId="12" fillId="0" borderId="9" xfId="0" applyNumberFormat="1" applyFont="1" applyFill="1" applyBorder="1"/>
    <xf numFmtId="2" fontId="12" fillId="0" borderId="9" xfId="0" applyNumberFormat="1" applyFont="1" applyFill="1" applyBorder="1"/>
    <xf numFmtId="2" fontId="9" fillId="0" borderId="9" xfId="0" applyNumberFormat="1" applyFont="1" applyFill="1" applyBorder="1"/>
    <xf numFmtId="0" fontId="9" fillId="0" borderId="9" xfId="0" applyFont="1" applyFill="1" applyBorder="1"/>
    <xf numFmtId="0" fontId="0" fillId="0" borderId="9" xfId="0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 indent="4"/>
    </xf>
    <xf numFmtId="0" fontId="9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0" xfId="0" applyFill="1"/>
    <xf numFmtId="49" fontId="1" fillId="0" borderId="9" xfId="0" applyNumberFormat="1" applyFont="1" applyFill="1" applyBorder="1" applyAlignment="1">
      <alignment horizontal="left" indent="2"/>
    </xf>
    <xf numFmtId="0" fontId="1" fillId="0" borderId="9" xfId="0" applyFont="1" applyFill="1" applyBorder="1"/>
    <xf numFmtId="0" fontId="15" fillId="0" borderId="9" xfId="0" applyFont="1" applyFill="1" applyBorder="1"/>
    <xf numFmtId="0" fontId="8" fillId="0" borderId="9" xfId="0" applyFont="1" applyFill="1" applyBorder="1"/>
    <xf numFmtId="44" fontId="1" fillId="0" borderId="9" xfId="1" applyFont="1" applyFill="1" applyBorder="1"/>
    <xf numFmtId="49" fontId="12" fillId="0" borderId="9" xfId="0" applyNumberFormat="1" applyFont="1" applyFill="1" applyBorder="1" applyAlignment="1">
      <alignment horizontal="left" indent="4"/>
    </xf>
    <xf numFmtId="0" fontId="1" fillId="0" borderId="9" xfId="0" applyFont="1" applyFill="1" applyBorder="1" applyAlignment="1">
      <alignment horizontal="right" indent="1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/>
    <xf numFmtId="0" fontId="10" fillId="0" borderId="0" xfId="0" applyFont="1" applyFill="1"/>
    <xf numFmtId="49" fontId="0" fillId="0" borderId="8" xfId="0" applyNumberFormat="1" applyFill="1" applyBorder="1" applyAlignment="1">
      <alignment horizontal="left" indent="4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2" fontId="10" fillId="0" borderId="9" xfId="0" applyNumberFormat="1" applyFont="1" applyFill="1" applyBorder="1"/>
    <xf numFmtId="0" fontId="10" fillId="0" borderId="11" xfId="0" applyFont="1" applyFill="1" applyBorder="1"/>
    <xf numFmtId="49" fontId="0" fillId="0" borderId="0" xfId="0" applyNumberFormat="1" applyFill="1" applyAlignment="1">
      <alignment horizontal="left"/>
    </xf>
    <xf numFmtId="0" fontId="0" fillId="0" borderId="12" xfId="0" applyFill="1" applyBorder="1"/>
    <xf numFmtId="49" fontId="1" fillId="0" borderId="9" xfId="0" applyNumberFormat="1" applyFont="1" applyFill="1" applyBorder="1" applyAlignment="1">
      <alignment horizontal="left" indent="1"/>
    </xf>
    <xf numFmtId="0" fontId="11" fillId="0" borderId="9" xfId="0" applyFont="1" applyFill="1" applyBorder="1" applyAlignment="1">
      <alignment horizontal="left" indent="2"/>
    </xf>
    <xf numFmtId="49" fontId="0" fillId="0" borderId="9" xfId="0" applyNumberFormat="1" applyFill="1" applyBorder="1" applyAlignment="1">
      <alignment horizontal="left" indent="2"/>
    </xf>
    <xf numFmtId="49" fontId="9" fillId="0" borderId="9" xfId="0" applyNumberFormat="1" applyFont="1" applyFill="1" applyBorder="1" applyAlignment="1">
      <alignment horizontal="left" indent="2"/>
    </xf>
    <xf numFmtId="0" fontId="0" fillId="0" borderId="8" xfId="0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 indent="2"/>
    </xf>
    <xf numFmtId="0" fontId="8" fillId="0" borderId="9" xfId="0" applyFont="1" applyFill="1" applyBorder="1" applyAlignment="1">
      <alignment horizontal="left"/>
    </xf>
    <xf numFmtId="0" fontId="9" fillId="0" borderId="8" xfId="0" applyFont="1" applyFill="1" applyBorder="1"/>
    <xf numFmtId="49" fontId="12" fillId="0" borderId="8" xfId="0" applyNumberFormat="1" applyFont="1" applyFill="1" applyBorder="1" applyAlignment="1">
      <alignment horizontal="left" indent="2"/>
    </xf>
    <xf numFmtId="0" fontId="15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18" fillId="0" borderId="9" xfId="0" applyFont="1" applyFill="1" applyBorder="1"/>
    <xf numFmtId="0" fontId="19" fillId="0" borderId="9" xfId="0" applyFont="1" applyFill="1" applyBorder="1"/>
    <xf numFmtId="0" fontId="17" fillId="0" borderId="9" xfId="0" applyFont="1" applyFill="1" applyBorder="1"/>
    <xf numFmtId="44" fontId="18" fillId="0" borderId="9" xfId="1" applyFont="1" applyFill="1" applyBorder="1"/>
    <xf numFmtId="49" fontId="1" fillId="0" borderId="6" xfId="0" applyNumberFormat="1" applyFont="1" applyFill="1" applyBorder="1" applyAlignment="1">
      <alignment horizontal="left" indent="2"/>
    </xf>
    <xf numFmtId="0" fontId="1" fillId="0" borderId="6" xfId="0" applyFont="1" applyFill="1" applyBorder="1"/>
    <xf numFmtId="0" fontId="18" fillId="0" borderId="7" xfId="0" applyFont="1" applyFill="1" applyBorder="1"/>
    <xf numFmtId="0" fontId="19" fillId="0" borderId="6" xfId="0" applyFont="1" applyFill="1" applyBorder="1"/>
    <xf numFmtId="0" fontId="15" fillId="0" borderId="6" xfId="0" applyFont="1" applyFill="1" applyBorder="1"/>
    <xf numFmtId="44" fontId="1" fillId="0" borderId="6" xfId="1" applyFont="1" applyFill="1" applyBorder="1"/>
    <xf numFmtId="44" fontId="10" fillId="0" borderId="0" xfId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mazon.com/dp/B08FD72Q1F/?coliid=I1VVZBTZ2BB8NG&amp;colid=1269BDLDCA5AQ&amp;psc=1&amp;ref_=lv_ov_lig_dp_it" TargetMode="External"/><Relationship Id="rId1" Type="http://schemas.openxmlformats.org/officeDocument/2006/relationships/hyperlink" Target="https://www.amazon.com/dp/B098XCK8LN/?coliid=IMK5QQ084H3KE&amp;colid=1269BDLDCA5AQ&amp;ref_=lv_ov_lig_dp_it&amp;th=1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56FA-C168-4523-B16B-58F188F98A60}">
  <dimension ref="A1:V42"/>
  <sheetViews>
    <sheetView workbookViewId="0">
      <pane ySplit="3" topLeftCell="A4" activePane="bottomLeft" state="frozen"/>
      <selection pane="bottomLeft" activeCell="C10" sqref="C10"/>
    </sheetView>
  </sheetViews>
  <sheetFormatPr defaultColWidth="8.85546875" defaultRowHeight="15" x14ac:dyDescent="0.25"/>
  <cols>
    <col min="1" max="1" width="1.5703125" customWidth="1"/>
    <col min="2" max="2" width="21.85546875" style="5" bestFit="1" customWidth="1"/>
    <col min="3" max="3" width="38.42578125" customWidth="1"/>
    <col min="4" max="4" width="5" customWidth="1"/>
    <col min="5" max="5" width="15.5703125" bestFit="1" customWidth="1"/>
    <col min="6" max="6" width="8.28515625" bestFit="1" customWidth="1"/>
    <col min="7" max="7" width="18.7109375" bestFit="1" customWidth="1"/>
    <col min="8" max="8" width="16.140625" bestFit="1" customWidth="1"/>
    <col min="9" max="9" width="9.140625" customWidth="1"/>
    <col min="10" max="10" width="11.5703125" customWidth="1"/>
    <col min="11" max="11" width="9.28515625" bestFit="1" customWidth="1"/>
    <col min="12" max="12" width="8.5703125" bestFit="1" customWidth="1"/>
    <col min="13" max="13" width="7.5703125" bestFit="1" customWidth="1"/>
    <col min="14" max="14" width="9.42578125" customWidth="1"/>
    <col min="15" max="15" width="17" bestFit="1" customWidth="1"/>
    <col min="16" max="16" width="12.42578125" style="16" customWidth="1"/>
  </cols>
  <sheetData>
    <row r="1" spans="2:22" s="3" customFormat="1" x14ac:dyDescent="0.25">
      <c r="B1" s="42" t="s">
        <v>0</v>
      </c>
      <c r="C1" s="43"/>
      <c r="D1" s="44"/>
      <c r="E1" s="40"/>
      <c r="F1" s="45" t="s">
        <v>1</v>
      </c>
      <c r="G1" s="45"/>
      <c r="H1" s="45"/>
      <c r="I1" s="45"/>
      <c r="J1" s="45"/>
      <c r="K1" s="45"/>
      <c r="L1" s="45"/>
      <c r="M1" s="39"/>
      <c r="N1" s="42" t="s">
        <v>2</v>
      </c>
      <c r="O1" s="44"/>
      <c r="P1" s="28"/>
    </row>
    <row r="2" spans="2:22" s="3" customFormat="1" ht="47.25" customHeight="1" x14ac:dyDescent="0.25">
      <c r="B2" s="35" t="s">
        <v>3</v>
      </c>
      <c r="C2" s="41" t="s">
        <v>4</v>
      </c>
      <c r="D2" s="41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75</v>
      </c>
      <c r="J2" s="36" t="s">
        <v>76</v>
      </c>
      <c r="K2" s="36" t="s">
        <v>77</v>
      </c>
      <c r="L2" s="36" t="s">
        <v>10</v>
      </c>
      <c r="M2" s="36" t="s">
        <v>11</v>
      </c>
      <c r="N2" s="36" t="s">
        <v>12</v>
      </c>
      <c r="O2" s="36" t="s">
        <v>13</v>
      </c>
      <c r="P2" s="28"/>
    </row>
    <row r="3" spans="2:22" ht="1.5" customHeight="1" x14ac:dyDescent="0.2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</row>
    <row r="4" spans="2:22" s="3" customFormat="1" x14ac:dyDescent="0.25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N4"/>
      <c r="O4" s="13"/>
      <c r="P4" s="28"/>
    </row>
    <row r="5" spans="2:22" s="87" customFormat="1" x14ac:dyDescent="0.25">
      <c r="B5" s="93" t="s">
        <v>201</v>
      </c>
      <c r="C5" s="94"/>
      <c r="D5" s="94"/>
      <c r="E5" s="94"/>
      <c r="F5" s="94"/>
      <c r="G5" s="95"/>
      <c r="H5" s="94"/>
      <c r="I5" s="96"/>
      <c r="J5" s="96"/>
      <c r="K5" s="97"/>
      <c r="L5" s="94"/>
      <c r="M5" s="94"/>
      <c r="N5" s="98"/>
      <c r="O5" s="98">
        <f>SUM(O6:O15)</f>
        <v>0</v>
      </c>
      <c r="P5" s="86"/>
    </row>
    <row r="6" spans="2:22" x14ac:dyDescent="0.25">
      <c r="B6" s="46"/>
      <c r="C6" s="47"/>
      <c r="D6" s="47"/>
      <c r="E6" s="47"/>
      <c r="F6" s="47"/>
      <c r="G6" s="48"/>
      <c r="H6" s="49"/>
      <c r="I6" s="50"/>
      <c r="J6" s="51"/>
      <c r="K6" s="52"/>
      <c r="L6" s="47"/>
      <c r="M6" s="47"/>
      <c r="N6" s="17"/>
      <c r="O6" s="20">
        <f>N6*D6</f>
        <v>0</v>
      </c>
      <c r="S6" s="37">
        <v>6</v>
      </c>
      <c r="T6" t="s">
        <v>85</v>
      </c>
      <c r="U6" s="31">
        <f>4*S6</f>
        <v>24</v>
      </c>
      <c r="V6" t="s">
        <v>86</v>
      </c>
    </row>
    <row r="7" spans="2:22" x14ac:dyDescent="0.25">
      <c r="B7" s="46"/>
      <c r="C7" s="47"/>
      <c r="D7" s="47"/>
      <c r="E7" s="47"/>
      <c r="F7" s="47"/>
      <c r="G7" s="48"/>
      <c r="H7" s="49"/>
      <c r="I7" s="50"/>
      <c r="J7" s="51"/>
      <c r="K7" s="52"/>
      <c r="L7" s="47"/>
      <c r="M7" s="47"/>
      <c r="N7" s="17"/>
      <c r="O7" s="20">
        <f>N7*D7</f>
        <v>0</v>
      </c>
    </row>
    <row r="8" spans="2:22" x14ac:dyDescent="0.25">
      <c r="B8" s="46"/>
      <c r="C8" s="47"/>
      <c r="D8" s="47"/>
      <c r="E8" s="47"/>
      <c r="F8" s="47"/>
      <c r="G8" s="48"/>
      <c r="H8" s="49"/>
      <c r="I8" s="50"/>
      <c r="J8" s="49"/>
      <c r="K8" s="52"/>
      <c r="L8" s="47"/>
      <c r="M8" s="47"/>
      <c r="N8" s="17"/>
      <c r="O8" s="20">
        <f>N8*D8</f>
        <v>0</v>
      </c>
      <c r="Q8" s="16"/>
      <c r="V8" s="10"/>
    </row>
    <row r="9" spans="2:22" x14ac:dyDescent="0.25">
      <c r="B9" s="46"/>
      <c r="C9" s="47"/>
      <c r="D9" s="47"/>
      <c r="E9" s="53"/>
      <c r="F9" s="47"/>
      <c r="G9" s="48"/>
      <c r="H9" s="49"/>
      <c r="I9" s="50"/>
      <c r="J9" s="51"/>
      <c r="K9" s="52"/>
      <c r="L9" s="47"/>
      <c r="M9" s="47"/>
      <c r="N9" s="17"/>
      <c r="O9" s="20">
        <f>N9*D9</f>
        <v>0</v>
      </c>
      <c r="Q9" s="16"/>
    </row>
    <row r="10" spans="2:22" x14ac:dyDescent="0.25">
      <c r="B10" s="46"/>
      <c r="C10" s="47"/>
      <c r="D10" s="47"/>
      <c r="E10" s="47"/>
      <c r="F10" s="47"/>
      <c r="G10" s="48"/>
      <c r="H10" s="49"/>
      <c r="I10" s="50"/>
      <c r="J10" s="51"/>
      <c r="K10" s="52"/>
      <c r="L10" s="47"/>
      <c r="M10" s="47"/>
      <c r="N10" s="17"/>
      <c r="O10" s="20">
        <f t="shared" ref="O10:O15" si="0">N10*D10</f>
        <v>0</v>
      </c>
      <c r="Q10" s="16"/>
      <c r="T10" s="59"/>
      <c r="U10" s="59"/>
      <c r="V10" s="59"/>
    </row>
    <row r="11" spans="2:22" x14ac:dyDescent="0.25">
      <c r="B11" s="46"/>
      <c r="C11" s="47"/>
      <c r="D11" s="47"/>
      <c r="E11" s="47"/>
      <c r="F11" s="47"/>
      <c r="G11" s="48"/>
      <c r="H11" s="49"/>
      <c r="I11" s="50"/>
      <c r="J11" s="51"/>
      <c r="K11" s="52"/>
      <c r="L11" s="47"/>
      <c r="M11" s="47"/>
      <c r="N11" s="17"/>
      <c r="O11" s="20">
        <f t="shared" si="0"/>
        <v>0</v>
      </c>
      <c r="Q11" s="16"/>
      <c r="T11" s="59"/>
      <c r="U11" s="59"/>
      <c r="V11" s="59"/>
    </row>
    <row r="12" spans="2:22" s="16" customFormat="1" x14ac:dyDescent="0.25">
      <c r="B12" s="55"/>
      <c r="C12" s="53"/>
      <c r="D12" s="53"/>
      <c r="E12" s="56"/>
      <c r="F12" s="53"/>
      <c r="G12" s="53"/>
      <c r="H12" s="53"/>
      <c r="I12" s="53"/>
      <c r="J12" s="50"/>
      <c r="K12" s="53"/>
      <c r="L12" s="47"/>
      <c r="M12" s="47"/>
      <c r="N12" s="17"/>
      <c r="O12" s="26">
        <f t="shared" si="0"/>
        <v>0</v>
      </c>
      <c r="T12" s="88"/>
      <c r="U12" s="88"/>
      <c r="V12" s="88"/>
    </row>
    <row r="13" spans="2:22" x14ac:dyDescent="0.25">
      <c r="B13" s="46"/>
      <c r="C13" s="47"/>
      <c r="D13" s="47"/>
      <c r="E13" s="54"/>
      <c r="F13" s="47"/>
      <c r="G13" s="53"/>
      <c r="H13" s="57"/>
      <c r="I13" s="57"/>
      <c r="J13" s="57"/>
      <c r="K13" s="58"/>
      <c r="L13" s="47"/>
      <c r="M13" s="47"/>
      <c r="N13" s="17"/>
      <c r="O13" s="20">
        <f t="shared" si="0"/>
        <v>0</v>
      </c>
      <c r="T13" s="59"/>
      <c r="U13" s="59"/>
      <c r="V13" s="59"/>
    </row>
    <row r="14" spans="2:22" x14ac:dyDescent="0.25">
      <c r="B14" s="55"/>
      <c r="C14" s="53"/>
      <c r="D14" s="47"/>
      <c r="E14" s="54"/>
      <c r="F14" s="47"/>
      <c r="G14" s="53"/>
      <c r="H14" s="57"/>
      <c r="I14" s="57"/>
      <c r="J14" s="57"/>
      <c r="K14" s="58"/>
      <c r="L14" s="47"/>
      <c r="M14" s="47"/>
      <c r="N14" s="17"/>
      <c r="O14" s="20">
        <f t="shared" si="0"/>
        <v>0</v>
      </c>
    </row>
    <row r="15" spans="2:22" x14ac:dyDescent="0.25">
      <c r="B15" s="55"/>
      <c r="C15" s="53"/>
      <c r="D15" s="47"/>
      <c r="E15" s="54"/>
      <c r="F15" s="47"/>
      <c r="G15" s="53"/>
      <c r="H15" s="57"/>
      <c r="I15" s="57"/>
      <c r="J15" s="57"/>
      <c r="K15" s="58"/>
      <c r="L15" s="47"/>
      <c r="M15" s="47"/>
      <c r="N15" s="17"/>
      <c r="O15" s="20">
        <f t="shared" si="0"/>
        <v>0</v>
      </c>
    </row>
    <row r="16" spans="2:22" x14ac:dyDescent="0.2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7" x14ac:dyDescent="0.25">
      <c r="B17" s="7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9"/>
      <c r="O17" s="59"/>
    </row>
    <row r="18" spans="2:17" s="3" customFormat="1" x14ac:dyDescent="0.25">
      <c r="B18" s="60" t="s">
        <v>201</v>
      </c>
      <c r="C18" s="61"/>
      <c r="D18" s="66"/>
      <c r="E18" s="61"/>
      <c r="F18" s="61"/>
      <c r="G18" s="89"/>
      <c r="H18" s="61"/>
      <c r="I18" s="90"/>
      <c r="J18" s="90"/>
      <c r="K18" s="62"/>
      <c r="L18" s="61"/>
      <c r="M18" s="91"/>
      <c r="N18" s="92"/>
      <c r="O18" s="64">
        <f>SUM(O19:O21)*2</f>
        <v>0</v>
      </c>
      <c r="P18" s="28"/>
    </row>
    <row r="19" spans="2:17" x14ac:dyDescent="0.25">
      <c r="B19" s="46"/>
      <c r="C19" s="47"/>
      <c r="D19" s="47"/>
      <c r="E19" s="54"/>
      <c r="F19" s="47"/>
      <c r="G19" s="53"/>
      <c r="H19" s="54"/>
      <c r="I19" s="57"/>
      <c r="J19" s="57"/>
      <c r="K19" s="53"/>
      <c r="L19" s="47"/>
      <c r="M19" s="47"/>
      <c r="N19" s="17"/>
      <c r="O19" s="20">
        <f>N19*D19</f>
        <v>0</v>
      </c>
    </row>
    <row r="20" spans="2:17" x14ac:dyDescent="0.25">
      <c r="B20" s="70"/>
      <c r="C20" s="47"/>
      <c r="D20" s="47"/>
      <c r="E20" s="54"/>
      <c r="F20" s="47"/>
      <c r="G20" s="53"/>
      <c r="H20" s="54"/>
      <c r="I20" s="57"/>
      <c r="J20" s="57"/>
      <c r="K20" s="53"/>
      <c r="L20" s="47"/>
      <c r="M20" s="47"/>
      <c r="N20" s="17"/>
      <c r="O20" s="20">
        <f t="shared" ref="O20:O21" si="1">N20*D20</f>
        <v>0</v>
      </c>
    </row>
    <row r="21" spans="2:17" x14ac:dyDescent="0.25">
      <c r="B21" s="46"/>
      <c r="C21" s="76"/>
      <c r="D21" s="47"/>
      <c r="E21" s="54"/>
      <c r="F21" s="47"/>
      <c r="G21" s="53"/>
      <c r="H21" s="54"/>
      <c r="I21" s="47"/>
      <c r="J21" s="50"/>
      <c r="K21" s="53"/>
      <c r="L21" s="47"/>
      <c r="M21" s="47"/>
      <c r="N21" s="17"/>
      <c r="O21" s="20">
        <f t="shared" si="1"/>
        <v>0</v>
      </c>
    </row>
    <row r="22" spans="2:17" x14ac:dyDescent="0.25">
      <c r="B22" s="75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9"/>
      <c r="O22" s="59"/>
    </row>
    <row r="23" spans="2:17" s="3" customFormat="1" x14ac:dyDescent="0.25">
      <c r="B23" s="60" t="s">
        <v>201</v>
      </c>
      <c r="C23" s="61"/>
      <c r="D23" s="61"/>
      <c r="E23" s="61"/>
      <c r="F23" s="61"/>
      <c r="G23" s="89"/>
      <c r="H23" s="61"/>
      <c r="I23" s="91"/>
      <c r="J23" s="91"/>
      <c r="K23" s="91"/>
      <c r="L23" s="61"/>
      <c r="M23" s="61"/>
      <c r="N23" s="92"/>
      <c r="O23" s="64">
        <f>SUM(O24:O38)</f>
        <v>0</v>
      </c>
      <c r="P23" s="28"/>
    </row>
    <row r="24" spans="2:17" x14ac:dyDescent="0.25">
      <c r="B24" s="78"/>
      <c r="C24" s="47"/>
      <c r="D24" s="47"/>
      <c r="E24" s="47"/>
      <c r="F24" s="49"/>
      <c r="G24" s="48"/>
      <c r="H24" s="47"/>
      <c r="I24" s="49"/>
      <c r="J24" s="49"/>
      <c r="K24" s="53"/>
      <c r="L24" s="47"/>
      <c r="M24" s="47"/>
      <c r="N24" s="17"/>
      <c r="O24" s="20">
        <f t="shared" ref="O24:O37" si="2">N24*D24</f>
        <v>0</v>
      </c>
    </row>
    <row r="25" spans="2:17" x14ac:dyDescent="0.25">
      <c r="B25" s="79"/>
      <c r="C25" s="47"/>
      <c r="D25" s="47"/>
      <c r="E25" s="54"/>
      <c r="F25" s="47"/>
      <c r="G25" s="53"/>
      <c r="H25" s="47"/>
      <c r="I25" s="49"/>
      <c r="J25" s="50"/>
      <c r="K25" s="53"/>
      <c r="L25" s="47"/>
      <c r="M25" s="47"/>
      <c r="N25" s="17"/>
      <c r="O25" s="20">
        <f>N25*D25</f>
        <v>0</v>
      </c>
      <c r="P25" s="30"/>
    </row>
    <row r="26" spans="2:17" x14ac:dyDescent="0.25">
      <c r="B26" s="79"/>
      <c r="C26" s="47"/>
      <c r="D26" s="47"/>
      <c r="E26" s="54"/>
      <c r="F26" s="47"/>
      <c r="G26" s="53"/>
      <c r="H26" s="47"/>
      <c r="I26" s="49"/>
      <c r="J26" s="50"/>
      <c r="K26" s="53"/>
      <c r="L26" s="47"/>
      <c r="M26" s="47"/>
      <c r="N26" s="17"/>
      <c r="O26" s="20">
        <f>N26*D26</f>
        <v>0</v>
      </c>
      <c r="P26" s="30"/>
    </row>
    <row r="27" spans="2:17" x14ac:dyDescent="0.25">
      <c r="B27" s="79"/>
      <c r="C27" s="47"/>
      <c r="D27" s="47"/>
      <c r="E27" s="54"/>
      <c r="F27" s="47"/>
      <c r="G27" s="53"/>
      <c r="H27" s="47"/>
      <c r="I27" s="49"/>
      <c r="J27" s="50"/>
      <c r="K27" s="53"/>
      <c r="L27" s="47"/>
      <c r="M27" s="47"/>
      <c r="N27" s="17"/>
      <c r="O27" s="20">
        <f>N27*D27</f>
        <v>0</v>
      </c>
      <c r="Q27" s="31"/>
    </row>
    <row r="28" spans="2:17" x14ac:dyDescent="0.25">
      <c r="B28" s="80"/>
      <c r="C28" s="47"/>
      <c r="D28" s="47"/>
      <c r="E28" s="81"/>
      <c r="F28" s="71"/>
      <c r="G28" s="53"/>
      <c r="H28" s="54"/>
      <c r="I28" s="57"/>
      <c r="J28" s="57"/>
      <c r="K28" s="53"/>
      <c r="L28" s="54"/>
      <c r="M28" s="54"/>
      <c r="N28" s="17"/>
      <c r="O28" s="20">
        <f>N28*D28</f>
        <v>0</v>
      </c>
      <c r="P28" s="27"/>
    </row>
    <row r="29" spans="2:17" x14ac:dyDescent="0.25">
      <c r="B29" s="79"/>
      <c r="C29" s="47"/>
      <c r="D29" s="47"/>
      <c r="E29" s="47"/>
      <c r="F29" s="47"/>
      <c r="G29" s="53"/>
      <c r="H29" s="63"/>
      <c r="I29" s="49"/>
      <c r="J29" s="49"/>
      <c r="K29" s="53"/>
      <c r="L29" s="47"/>
      <c r="M29" s="47"/>
      <c r="N29" s="17"/>
      <c r="O29" s="20">
        <f>N29*D29</f>
        <v>0</v>
      </c>
    </row>
    <row r="30" spans="2:17" x14ac:dyDescent="0.25">
      <c r="B30" s="82"/>
      <c r="C30" s="47"/>
      <c r="D30" s="47"/>
      <c r="E30" s="57"/>
      <c r="F30" s="47"/>
      <c r="G30" s="47"/>
      <c r="H30" s="83"/>
      <c r="I30" s="57"/>
      <c r="J30" s="57"/>
      <c r="K30" s="58"/>
      <c r="L30" s="47"/>
      <c r="M30" s="47"/>
      <c r="N30" s="17"/>
      <c r="O30" s="20">
        <f t="shared" si="2"/>
        <v>0</v>
      </c>
    </row>
    <row r="31" spans="2:17" x14ac:dyDescent="0.25">
      <c r="B31" s="82"/>
      <c r="C31" s="47"/>
      <c r="D31" s="47"/>
      <c r="E31" s="57"/>
      <c r="F31" s="47"/>
      <c r="G31" s="47"/>
      <c r="H31" s="83"/>
      <c r="I31" s="57"/>
      <c r="J31" s="57"/>
      <c r="K31" s="58"/>
      <c r="L31" s="47"/>
      <c r="M31" s="47"/>
      <c r="N31" s="17"/>
      <c r="O31" s="20">
        <f>N31*D31</f>
        <v>0</v>
      </c>
    </row>
    <row r="32" spans="2:17" x14ac:dyDescent="0.25">
      <c r="B32" s="82"/>
      <c r="C32" s="47"/>
      <c r="D32" s="47"/>
      <c r="E32" s="57"/>
      <c r="F32" s="47"/>
      <c r="G32" s="47"/>
      <c r="H32" s="57"/>
      <c r="I32" s="57"/>
      <c r="J32" s="57"/>
      <c r="K32" s="58"/>
      <c r="L32" s="54"/>
      <c r="M32" s="54"/>
      <c r="N32" s="17"/>
      <c r="O32" s="20">
        <f>N32*D32</f>
        <v>0</v>
      </c>
    </row>
    <row r="33" spans="1:15" x14ac:dyDescent="0.25">
      <c r="B33" s="85"/>
      <c r="C33" s="71"/>
      <c r="D33" s="71"/>
      <c r="E33" s="72"/>
      <c r="F33" s="71"/>
      <c r="G33" s="84"/>
      <c r="H33" s="57"/>
      <c r="I33" s="57"/>
      <c r="J33" s="57"/>
      <c r="K33" s="58"/>
      <c r="L33" s="54"/>
      <c r="M33" s="54"/>
      <c r="N33" s="24"/>
      <c r="O33" s="22">
        <f t="shared" si="2"/>
        <v>0</v>
      </c>
    </row>
    <row r="34" spans="1:15" x14ac:dyDescent="0.25">
      <c r="B34" s="82"/>
      <c r="C34" s="47"/>
      <c r="D34" s="47"/>
      <c r="E34" s="57"/>
      <c r="F34" s="47"/>
      <c r="G34" s="53"/>
      <c r="H34" s="57"/>
      <c r="I34" s="57"/>
      <c r="J34" s="57"/>
      <c r="K34" s="58"/>
      <c r="L34" s="54"/>
      <c r="M34" s="54"/>
      <c r="N34" s="17"/>
      <c r="O34" s="20">
        <f t="shared" si="2"/>
        <v>0</v>
      </c>
    </row>
    <row r="35" spans="1:15" x14ac:dyDescent="0.25">
      <c r="B35" s="82"/>
      <c r="C35" s="71"/>
      <c r="D35" s="47"/>
      <c r="E35" s="57"/>
      <c r="F35" s="47"/>
      <c r="G35" s="53"/>
      <c r="H35" s="57"/>
      <c r="I35" s="57"/>
      <c r="J35" s="57"/>
      <c r="K35" s="58"/>
      <c r="L35" s="54"/>
      <c r="M35" s="54"/>
      <c r="N35" s="17"/>
      <c r="O35" s="20">
        <f t="shared" si="2"/>
        <v>0</v>
      </c>
    </row>
    <row r="36" spans="1:15" x14ac:dyDescent="0.25">
      <c r="A36" s="6"/>
      <c r="B36" s="82"/>
      <c r="C36" s="47"/>
      <c r="D36" s="47"/>
      <c r="E36" s="57"/>
      <c r="F36" s="47"/>
      <c r="G36" s="53"/>
      <c r="H36" s="57"/>
      <c r="I36" s="57"/>
      <c r="J36" s="57"/>
      <c r="K36" s="58"/>
      <c r="L36" s="54"/>
      <c r="M36" s="47"/>
      <c r="N36" s="17"/>
      <c r="O36" s="20">
        <f t="shared" si="2"/>
        <v>0</v>
      </c>
    </row>
    <row r="37" spans="1:15" x14ac:dyDescent="0.25">
      <c r="B37" s="80"/>
      <c r="C37" s="71"/>
      <c r="D37" s="47"/>
      <c r="E37" s="56"/>
      <c r="F37" s="71"/>
      <c r="G37" s="53"/>
      <c r="H37" s="57"/>
      <c r="I37" s="57"/>
      <c r="J37" s="57"/>
      <c r="K37" s="58"/>
      <c r="L37" s="54"/>
      <c r="M37" s="54"/>
      <c r="N37" s="17"/>
      <c r="O37" s="20">
        <f t="shared" si="2"/>
        <v>0</v>
      </c>
    </row>
    <row r="38" spans="1:15" ht="6" customHeight="1" x14ac:dyDescent="0.25">
      <c r="B38" s="25"/>
      <c r="C38" s="19"/>
      <c r="D38" s="9"/>
      <c r="E38" s="18"/>
      <c r="F38" s="9"/>
      <c r="G38" s="19"/>
      <c r="H38" s="21"/>
      <c r="I38" s="18"/>
      <c r="J38" s="18"/>
      <c r="K38" s="38"/>
      <c r="L38" s="21"/>
      <c r="M38" s="21"/>
      <c r="N38" s="26"/>
      <c r="O38" s="20"/>
    </row>
    <row r="40" spans="1:15" x14ac:dyDescent="0.25">
      <c r="J40" s="99">
        <v>42.5</v>
      </c>
      <c r="K40" t="s">
        <v>202</v>
      </c>
      <c r="L40" t="s">
        <v>72</v>
      </c>
      <c r="M40" s="15"/>
      <c r="N40" t="s">
        <v>73</v>
      </c>
      <c r="O40" s="23">
        <f>J40*M40</f>
        <v>0</v>
      </c>
    </row>
    <row r="42" spans="1:15" x14ac:dyDescent="0.25">
      <c r="N42" s="14" t="s">
        <v>74</v>
      </c>
      <c r="O42" s="7">
        <f>O5+O18+O23+O40</f>
        <v>0</v>
      </c>
    </row>
  </sheetData>
  <mergeCells count="3">
    <mergeCell ref="B1:D1"/>
    <mergeCell ref="F1:L1"/>
    <mergeCell ref="N1:O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D111-4A54-430F-8E6A-960E8685A637}">
  <dimension ref="A1:V72"/>
  <sheetViews>
    <sheetView tabSelected="1" workbookViewId="0">
      <pane ySplit="3" topLeftCell="A4" activePane="bottomLeft" state="frozen"/>
      <selection pane="bottomLeft" activeCell="O72" sqref="O72"/>
    </sheetView>
  </sheetViews>
  <sheetFormatPr defaultColWidth="8.85546875" defaultRowHeight="15" x14ac:dyDescent="0.25"/>
  <cols>
    <col min="1" max="1" width="1.5703125" customWidth="1"/>
    <col min="2" max="2" width="21.85546875" style="5" bestFit="1" customWidth="1"/>
    <col min="3" max="3" width="38.42578125" customWidth="1"/>
    <col min="4" max="4" width="5" customWidth="1"/>
    <col min="5" max="5" width="15.5703125" bestFit="1" customWidth="1"/>
    <col min="6" max="6" width="8.28515625" bestFit="1" customWidth="1"/>
    <col min="7" max="7" width="18.7109375" bestFit="1" customWidth="1"/>
    <col min="8" max="8" width="16.140625" bestFit="1" customWidth="1"/>
    <col min="9" max="9" width="9.140625" customWidth="1"/>
    <col min="10" max="10" width="11.5703125" customWidth="1"/>
    <col min="11" max="11" width="9.28515625" bestFit="1" customWidth="1"/>
    <col min="12" max="12" width="8.5703125" bestFit="1" customWidth="1"/>
    <col min="13" max="13" width="7.5703125" bestFit="1" customWidth="1"/>
    <col min="14" max="14" width="9.42578125" customWidth="1"/>
    <col min="15" max="15" width="17" bestFit="1" customWidth="1"/>
    <col min="16" max="16" width="8.85546875" style="16" customWidth="1"/>
    <col min="17" max="17" width="13.28515625" customWidth="1"/>
  </cols>
  <sheetData>
    <row r="1" spans="2:22" s="3" customFormat="1" x14ac:dyDescent="0.25">
      <c r="B1" s="42" t="s">
        <v>0</v>
      </c>
      <c r="C1" s="43"/>
      <c r="D1" s="44"/>
      <c r="E1" s="33"/>
      <c r="F1" s="45" t="s">
        <v>1</v>
      </c>
      <c r="G1" s="45"/>
      <c r="H1" s="45"/>
      <c r="I1" s="45"/>
      <c r="J1" s="45"/>
      <c r="K1" s="45"/>
      <c r="L1" s="45"/>
      <c r="M1" s="32"/>
      <c r="N1" s="42" t="s">
        <v>2</v>
      </c>
      <c r="O1" s="44"/>
      <c r="P1" s="28"/>
    </row>
    <row r="2" spans="2:22" s="3" customFormat="1" ht="47.25" customHeight="1" x14ac:dyDescent="0.25">
      <c r="B2" s="35" t="s">
        <v>3</v>
      </c>
      <c r="C2" s="34" t="s">
        <v>4</v>
      </c>
      <c r="D2" s="34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75</v>
      </c>
      <c r="J2" s="36" t="s">
        <v>76</v>
      </c>
      <c r="K2" s="36" t="s">
        <v>77</v>
      </c>
      <c r="L2" s="36" t="s">
        <v>10</v>
      </c>
      <c r="M2" s="36" t="s">
        <v>11</v>
      </c>
      <c r="N2" s="36" t="s">
        <v>12</v>
      </c>
      <c r="O2" s="36" t="s">
        <v>13</v>
      </c>
      <c r="P2" s="28"/>
    </row>
    <row r="3" spans="2:22" ht="1.5" customHeight="1" x14ac:dyDescent="0.2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</row>
    <row r="4" spans="2:22" s="3" customFormat="1" x14ac:dyDescent="0.25">
      <c r="B4" s="12" t="s">
        <v>78</v>
      </c>
      <c r="C4" s="8"/>
      <c r="D4" s="8">
        <v>1</v>
      </c>
      <c r="E4" s="8"/>
      <c r="F4" s="8"/>
      <c r="G4" s="8"/>
      <c r="H4" s="8"/>
      <c r="I4" s="8"/>
      <c r="J4" s="8"/>
      <c r="K4" s="8"/>
      <c r="L4" s="8"/>
      <c r="N4"/>
      <c r="O4" s="13"/>
      <c r="P4" s="28"/>
    </row>
    <row r="5" spans="2:22" s="87" customFormat="1" x14ac:dyDescent="0.25">
      <c r="B5" s="93" t="s">
        <v>79</v>
      </c>
      <c r="C5" s="94" t="s">
        <v>200</v>
      </c>
      <c r="D5" s="94">
        <v>1</v>
      </c>
      <c r="E5" s="94"/>
      <c r="F5" s="94" t="s">
        <v>14</v>
      </c>
      <c r="G5" s="95"/>
      <c r="H5" s="94" t="s">
        <v>80</v>
      </c>
      <c r="I5" s="96"/>
      <c r="J5" s="96"/>
      <c r="K5" s="97" t="s">
        <v>81</v>
      </c>
      <c r="L5" s="94"/>
      <c r="M5" s="94" t="s">
        <v>82</v>
      </c>
      <c r="N5" s="98"/>
      <c r="O5" s="98">
        <f>SUM(O6:O19)</f>
        <v>46.19422500000001</v>
      </c>
      <c r="P5" s="86"/>
    </row>
    <row r="6" spans="2:22" x14ac:dyDescent="0.25">
      <c r="B6" s="46" t="s">
        <v>83</v>
      </c>
      <c r="C6" s="47" t="s">
        <v>16</v>
      </c>
      <c r="D6" s="47">
        <v>2</v>
      </c>
      <c r="E6" s="47" t="s">
        <v>84</v>
      </c>
      <c r="F6" s="47" t="s">
        <v>14</v>
      </c>
      <c r="G6" s="48" t="s">
        <v>66</v>
      </c>
      <c r="H6" s="49" t="s">
        <v>18</v>
      </c>
      <c r="I6" s="50">
        <f>48/12</f>
        <v>4</v>
      </c>
      <c r="J6" s="51">
        <f>D6*I6</f>
        <v>8</v>
      </c>
      <c r="K6" s="52" t="s">
        <v>31</v>
      </c>
      <c r="L6" s="47" t="s">
        <v>31</v>
      </c>
      <c r="M6" s="47" t="s">
        <v>31</v>
      </c>
      <c r="N6" s="17">
        <f>J6/8*Q$6/D6*1.1</f>
        <v>3.3000000000000003</v>
      </c>
      <c r="O6" s="20">
        <f>N6*D6</f>
        <v>6.6000000000000005</v>
      </c>
      <c r="P6" t="s">
        <v>85</v>
      </c>
      <c r="Q6" s="99">
        <v>6</v>
      </c>
      <c r="S6" s="31"/>
    </row>
    <row r="7" spans="2:22" x14ac:dyDescent="0.25">
      <c r="B7" s="46" t="s">
        <v>87</v>
      </c>
      <c r="C7" s="47" t="s">
        <v>88</v>
      </c>
      <c r="D7" s="47">
        <v>2</v>
      </c>
      <c r="E7" s="47" t="s">
        <v>84</v>
      </c>
      <c r="F7" s="47" t="s">
        <v>14</v>
      </c>
      <c r="G7" s="48" t="s">
        <v>66</v>
      </c>
      <c r="H7" s="49" t="s">
        <v>18</v>
      </c>
      <c r="I7" s="50">
        <f>21/12</f>
        <v>1.75</v>
      </c>
      <c r="J7" s="51">
        <f>I7*D7</f>
        <v>3.5</v>
      </c>
      <c r="K7" s="52" t="s">
        <v>31</v>
      </c>
      <c r="L7" s="47" t="s">
        <v>31</v>
      </c>
      <c r="M7" s="47" t="s">
        <v>31</v>
      </c>
      <c r="N7" s="17">
        <f>J7/8*Q$6/D7*1.1</f>
        <v>1.4437500000000001</v>
      </c>
      <c r="O7" s="20">
        <f>N7*D7</f>
        <v>2.8875000000000002</v>
      </c>
    </row>
    <row r="8" spans="2:22" x14ac:dyDescent="0.25">
      <c r="B8" s="46" t="s">
        <v>89</v>
      </c>
      <c r="C8" s="47" t="s">
        <v>19</v>
      </c>
      <c r="D8" s="47">
        <v>7</v>
      </c>
      <c r="E8" s="47" t="s">
        <v>84</v>
      </c>
      <c r="F8" s="47" t="s">
        <v>14</v>
      </c>
      <c r="G8" s="48" t="s">
        <v>66</v>
      </c>
      <c r="H8" s="49" t="s">
        <v>43</v>
      </c>
      <c r="I8" s="50">
        <f>21/12</f>
        <v>1.75</v>
      </c>
      <c r="J8" s="49">
        <f>I8*D8</f>
        <v>12.25</v>
      </c>
      <c r="K8" s="52" t="s">
        <v>31</v>
      </c>
      <c r="L8" s="47" t="s">
        <v>31</v>
      </c>
      <c r="M8" s="47" t="s">
        <v>31</v>
      </c>
      <c r="N8" s="17">
        <f>J8/8*Q$6/D8*1.1</f>
        <v>1.4437500000000001</v>
      </c>
      <c r="O8" s="20">
        <f>N8*D8</f>
        <v>10.106250000000001</v>
      </c>
      <c r="Q8" s="16"/>
      <c r="V8" s="10"/>
    </row>
    <row r="9" spans="2:22" x14ac:dyDescent="0.25">
      <c r="B9" s="46" t="s">
        <v>90</v>
      </c>
      <c r="C9" s="47" t="s">
        <v>91</v>
      </c>
      <c r="D9" s="47">
        <v>1</v>
      </c>
      <c r="E9" s="53" t="s">
        <v>84</v>
      </c>
      <c r="F9" s="47" t="s">
        <v>14</v>
      </c>
      <c r="G9" s="48" t="s">
        <v>66</v>
      </c>
      <c r="H9" s="49" t="s">
        <v>92</v>
      </c>
      <c r="I9" s="50">
        <f>14.875/12</f>
        <v>1.2395833333333333</v>
      </c>
      <c r="J9" s="51">
        <f>I9*D9</f>
        <v>1.2395833333333333</v>
      </c>
      <c r="K9" s="52" t="s">
        <v>31</v>
      </c>
      <c r="L9" s="47" t="s">
        <v>31</v>
      </c>
      <c r="M9" s="47" t="s">
        <v>31</v>
      </c>
      <c r="N9" s="17">
        <f>J9/8*Q$6/D9*1.1</f>
        <v>1.02265625</v>
      </c>
      <c r="O9" s="20">
        <f>N9*D9</f>
        <v>1.02265625</v>
      </c>
      <c r="Q9" s="16"/>
    </row>
    <row r="10" spans="2:22" x14ac:dyDescent="0.25">
      <c r="B10" s="46" t="s">
        <v>93</v>
      </c>
      <c r="C10" s="47" t="s">
        <v>94</v>
      </c>
      <c r="D10" s="47">
        <v>4</v>
      </c>
      <c r="E10" s="47" t="s">
        <v>84</v>
      </c>
      <c r="F10" s="47" t="s">
        <v>14</v>
      </c>
      <c r="G10" s="48" t="s">
        <v>66</v>
      </c>
      <c r="H10" s="49" t="s">
        <v>43</v>
      </c>
      <c r="I10" s="50">
        <f>4/12</f>
        <v>0.33333333333333331</v>
      </c>
      <c r="J10" s="51">
        <f>I10*D10</f>
        <v>1.3333333333333333</v>
      </c>
      <c r="K10" s="52" t="s">
        <v>31</v>
      </c>
      <c r="L10" s="47" t="s">
        <v>31</v>
      </c>
      <c r="M10" s="47" t="s">
        <v>31</v>
      </c>
      <c r="N10" s="17">
        <f>J10/8*Q$6/D10*1.1</f>
        <v>0.27500000000000002</v>
      </c>
      <c r="O10" s="20">
        <f t="shared" ref="O10" si="0">N10*D10</f>
        <v>1.1000000000000001</v>
      </c>
      <c r="Q10" s="16"/>
      <c r="T10" s="59"/>
      <c r="U10" s="59"/>
      <c r="V10" s="59"/>
    </row>
    <row r="11" spans="2:22" x14ac:dyDescent="0.25">
      <c r="B11" s="46" t="s">
        <v>95</v>
      </c>
      <c r="C11" s="47" t="s">
        <v>96</v>
      </c>
      <c r="D11" s="47">
        <v>1</v>
      </c>
      <c r="E11" s="47" t="s">
        <v>84</v>
      </c>
      <c r="F11" s="47" t="s">
        <v>14</v>
      </c>
      <c r="G11" s="48" t="s">
        <v>66</v>
      </c>
      <c r="H11" s="49" t="s">
        <v>43</v>
      </c>
      <c r="I11" s="50">
        <f>12.875/12</f>
        <v>1.0729166666666667</v>
      </c>
      <c r="J11" s="51">
        <f>I11*D11</f>
        <v>1.0729166666666667</v>
      </c>
      <c r="K11" s="52" t="s">
        <v>31</v>
      </c>
      <c r="L11" s="47" t="s">
        <v>31</v>
      </c>
      <c r="M11" s="47" t="s">
        <v>31</v>
      </c>
      <c r="N11" s="17">
        <f>J11/8*Q$6/D11*1.1</f>
        <v>0.88515625000000009</v>
      </c>
      <c r="O11" s="20">
        <f t="shared" ref="O11" si="1">N11*D11</f>
        <v>0.88515625000000009</v>
      </c>
      <c r="Q11" s="16"/>
      <c r="T11" s="59"/>
      <c r="U11" s="59"/>
      <c r="V11" s="59"/>
    </row>
    <row r="12" spans="2:22" x14ac:dyDescent="0.25">
      <c r="B12" s="46" t="s">
        <v>97</v>
      </c>
      <c r="C12" s="47" t="s">
        <v>98</v>
      </c>
      <c r="D12" s="47">
        <v>1</v>
      </c>
      <c r="E12" s="54" t="s">
        <v>99</v>
      </c>
      <c r="F12" s="47" t="s">
        <v>14</v>
      </c>
      <c r="G12" s="48" t="s">
        <v>100</v>
      </c>
      <c r="H12" s="49" t="s">
        <v>101</v>
      </c>
      <c r="I12" s="49" t="s">
        <v>102</v>
      </c>
      <c r="J12" s="50">
        <f>7/12*24/12</f>
        <v>1.1666666666666667</v>
      </c>
      <c r="K12" s="53" t="s">
        <v>103</v>
      </c>
      <c r="L12" s="47" t="s">
        <v>31</v>
      </c>
      <c r="M12" s="47" t="s">
        <v>31</v>
      </c>
      <c r="N12" s="17">
        <f>J12/16*R$12/D12*1.1</f>
        <v>2.3003750000000003</v>
      </c>
      <c r="O12" s="20">
        <f t="shared" ref="O12:O17" si="2">N12*D12</f>
        <v>2.3003750000000003</v>
      </c>
      <c r="P12" s="16" t="s">
        <v>104</v>
      </c>
      <c r="R12" s="99">
        <v>28.68</v>
      </c>
      <c r="T12" s="59"/>
      <c r="U12" s="59"/>
      <c r="V12" s="59"/>
    </row>
    <row r="13" spans="2:22" x14ac:dyDescent="0.25">
      <c r="B13" s="46" t="s">
        <v>105</v>
      </c>
      <c r="C13" s="47" t="s">
        <v>106</v>
      </c>
      <c r="D13" s="47">
        <v>1</v>
      </c>
      <c r="E13" s="54" t="s">
        <v>99</v>
      </c>
      <c r="F13" s="47" t="s">
        <v>14</v>
      </c>
      <c r="G13" s="48" t="s">
        <v>100</v>
      </c>
      <c r="H13" s="49" t="s">
        <v>101</v>
      </c>
      <c r="I13" s="49" t="s">
        <v>107</v>
      </c>
      <c r="J13" s="50">
        <f>18/12*24/12</f>
        <v>3</v>
      </c>
      <c r="K13" s="53" t="s">
        <v>103</v>
      </c>
      <c r="L13" s="47" t="s">
        <v>31</v>
      </c>
      <c r="M13" s="47" t="s">
        <v>31</v>
      </c>
      <c r="N13" s="17">
        <f t="shared" ref="N13:N16" si="3">J13/16*R$12/D13*1.1</f>
        <v>5.9152500000000003</v>
      </c>
      <c r="O13" s="20">
        <f t="shared" si="2"/>
        <v>5.9152500000000003</v>
      </c>
      <c r="T13" s="59"/>
      <c r="U13" s="59"/>
      <c r="V13" s="59"/>
    </row>
    <row r="14" spans="2:22" x14ac:dyDescent="0.25">
      <c r="B14" s="46" t="s">
        <v>108</v>
      </c>
      <c r="C14" s="47" t="s">
        <v>109</v>
      </c>
      <c r="D14" s="47">
        <v>1</v>
      </c>
      <c r="E14" s="54" t="s">
        <v>99</v>
      </c>
      <c r="F14" s="47" t="s">
        <v>14</v>
      </c>
      <c r="G14" s="48" t="s">
        <v>100</v>
      </c>
      <c r="H14" s="49" t="s">
        <v>101</v>
      </c>
      <c r="I14" s="49" t="s">
        <v>110</v>
      </c>
      <c r="J14" s="50">
        <f>10.5/12*24/12</f>
        <v>1.75</v>
      </c>
      <c r="K14" s="53" t="s">
        <v>103</v>
      </c>
      <c r="L14" s="47" t="s">
        <v>31</v>
      </c>
      <c r="M14" s="47" t="s">
        <v>31</v>
      </c>
      <c r="N14" s="17">
        <f t="shared" si="3"/>
        <v>3.4505625000000002</v>
      </c>
      <c r="O14" s="20">
        <f t="shared" si="2"/>
        <v>3.4505625000000002</v>
      </c>
      <c r="T14" s="59"/>
      <c r="U14" s="59"/>
      <c r="V14" s="59"/>
    </row>
    <row r="15" spans="2:22" s="16" customFormat="1" x14ac:dyDescent="0.25">
      <c r="B15" s="55" t="s">
        <v>111</v>
      </c>
      <c r="C15" s="53" t="s">
        <v>112</v>
      </c>
      <c r="D15" s="53">
        <v>1</v>
      </c>
      <c r="E15" s="56" t="s">
        <v>99</v>
      </c>
      <c r="F15" s="53" t="s">
        <v>14</v>
      </c>
      <c r="G15" s="53" t="s">
        <v>100</v>
      </c>
      <c r="H15" s="53" t="s">
        <v>101</v>
      </c>
      <c r="I15" s="53" t="s">
        <v>113</v>
      </c>
      <c r="J15" s="50">
        <f>15/12*24/12</f>
        <v>2.5</v>
      </c>
      <c r="K15" s="53" t="s">
        <v>103</v>
      </c>
      <c r="L15" s="47" t="s">
        <v>31</v>
      </c>
      <c r="M15" s="47" t="s">
        <v>31</v>
      </c>
      <c r="N15" s="17">
        <f t="shared" si="3"/>
        <v>4.9293750000000003</v>
      </c>
      <c r="O15" s="26">
        <f t="shared" ref="O15" si="4">N15*D15</f>
        <v>4.9293750000000003</v>
      </c>
      <c r="T15" s="88"/>
      <c r="U15" s="88"/>
      <c r="V15" s="88"/>
    </row>
    <row r="16" spans="2:22" s="16" customFormat="1" x14ac:dyDescent="0.25">
      <c r="B16" s="55" t="s">
        <v>114</v>
      </c>
      <c r="C16" s="53" t="s">
        <v>115</v>
      </c>
      <c r="D16" s="53">
        <v>1</v>
      </c>
      <c r="E16" s="56" t="s">
        <v>99</v>
      </c>
      <c r="F16" s="53" t="s">
        <v>14</v>
      </c>
      <c r="G16" s="53" t="s">
        <v>100</v>
      </c>
      <c r="H16" s="53" t="s">
        <v>101</v>
      </c>
      <c r="I16" s="53" t="s">
        <v>116</v>
      </c>
      <c r="J16" s="50">
        <f>12/12*24/12</f>
        <v>2</v>
      </c>
      <c r="K16" s="53" t="s">
        <v>103</v>
      </c>
      <c r="L16" s="47" t="s">
        <v>31</v>
      </c>
      <c r="M16" s="47" t="s">
        <v>31</v>
      </c>
      <c r="N16" s="17">
        <f t="shared" si="3"/>
        <v>3.9435000000000002</v>
      </c>
      <c r="O16" s="26">
        <f t="shared" si="2"/>
        <v>3.9435000000000002</v>
      </c>
      <c r="T16" s="88"/>
      <c r="U16" s="88"/>
      <c r="V16" s="88"/>
    </row>
    <row r="17" spans="2:22" x14ac:dyDescent="0.25">
      <c r="B17" s="46" t="s">
        <v>117</v>
      </c>
      <c r="C17" s="47" t="s">
        <v>118</v>
      </c>
      <c r="D17" s="47">
        <v>1</v>
      </c>
      <c r="E17" s="54" t="s">
        <v>119</v>
      </c>
      <c r="F17" s="47" t="s">
        <v>29</v>
      </c>
      <c r="G17" s="53" t="s">
        <v>17</v>
      </c>
      <c r="H17" s="57" t="s">
        <v>28</v>
      </c>
      <c r="I17" s="57" t="s">
        <v>28</v>
      </c>
      <c r="J17" s="57" t="s">
        <v>28</v>
      </c>
      <c r="K17" s="58" t="s">
        <v>28</v>
      </c>
      <c r="L17" s="47" t="s">
        <v>31</v>
      </c>
      <c r="M17" s="47" t="s">
        <v>31</v>
      </c>
      <c r="N17" s="17">
        <v>0</v>
      </c>
      <c r="O17" s="20">
        <f t="shared" si="2"/>
        <v>0</v>
      </c>
      <c r="T17" s="59"/>
      <c r="U17" s="59"/>
      <c r="V17" s="59"/>
    </row>
    <row r="18" spans="2:22" x14ac:dyDescent="0.25">
      <c r="B18" s="55" t="s">
        <v>120</v>
      </c>
      <c r="C18" s="53" t="s">
        <v>121</v>
      </c>
      <c r="D18" s="47">
        <v>66</v>
      </c>
      <c r="E18" s="54" t="s">
        <v>122</v>
      </c>
      <c r="F18" s="47" t="s">
        <v>29</v>
      </c>
      <c r="G18" s="53" t="s">
        <v>17</v>
      </c>
      <c r="H18" s="57" t="s">
        <v>28</v>
      </c>
      <c r="I18" s="57" t="s">
        <v>28</v>
      </c>
      <c r="J18" s="57" t="s">
        <v>28</v>
      </c>
      <c r="K18" s="58" t="s">
        <v>28</v>
      </c>
      <c r="L18" s="47" t="s">
        <v>31</v>
      </c>
      <c r="M18" s="47" t="s">
        <v>31</v>
      </c>
      <c r="N18" s="17">
        <v>0</v>
      </c>
      <c r="O18" s="20">
        <f t="shared" ref="O18:O19" si="5">N18*D18</f>
        <v>0</v>
      </c>
    </row>
    <row r="19" spans="2:22" x14ac:dyDescent="0.25">
      <c r="B19" s="55" t="s">
        <v>123</v>
      </c>
      <c r="C19" s="53" t="s">
        <v>124</v>
      </c>
      <c r="D19" s="47">
        <v>44</v>
      </c>
      <c r="E19" s="54" t="s">
        <v>122</v>
      </c>
      <c r="F19" s="47" t="s">
        <v>29</v>
      </c>
      <c r="G19" s="53" t="s">
        <v>17</v>
      </c>
      <c r="H19" s="57" t="s">
        <v>28</v>
      </c>
      <c r="I19" s="57" t="s">
        <v>28</v>
      </c>
      <c r="J19" s="57" t="s">
        <v>28</v>
      </c>
      <c r="K19" s="58" t="s">
        <v>28</v>
      </c>
      <c r="L19" s="47" t="s">
        <v>31</v>
      </c>
      <c r="M19" s="47" t="s">
        <v>31</v>
      </c>
      <c r="N19" s="17">
        <f>3.47/50</f>
        <v>6.9400000000000003E-2</v>
      </c>
      <c r="O19" s="20">
        <f t="shared" si="5"/>
        <v>3.0536000000000003</v>
      </c>
    </row>
    <row r="20" spans="2:22" x14ac:dyDescent="0.25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2:22" s="3" customFormat="1" x14ac:dyDescent="0.25">
      <c r="B21" s="60" t="s">
        <v>125</v>
      </c>
      <c r="C21" s="61" t="s">
        <v>126</v>
      </c>
      <c r="D21" s="61">
        <v>2</v>
      </c>
      <c r="E21" s="61"/>
      <c r="F21" s="61" t="s">
        <v>14</v>
      </c>
      <c r="G21" s="89" t="s">
        <v>127</v>
      </c>
      <c r="H21" s="62" t="s">
        <v>15</v>
      </c>
      <c r="I21" s="90"/>
      <c r="J21" s="90"/>
      <c r="K21" s="62" t="s">
        <v>82</v>
      </c>
      <c r="L21" s="61"/>
      <c r="M21" s="91"/>
      <c r="N21" s="92"/>
      <c r="O21" s="64">
        <f>SUM(O22:O25)*D21</f>
        <v>0</v>
      </c>
      <c r="P21" s="28"/>
    </row>
    <row r="22" spans="2:22" x14ac:dyDescent="0.25">
      <c r="B22" s="65" t="s">
        <v>128</v>
      </c>
      <c r="C22" s="47" t="s">
        <v>23</v>
      </c>
      <c r="D22" s="47">
        <v>1</v>
      </c>
      <c r="E22" s="54" t="s">
        <v>129</v>
      </c>
      <c r="F22" s="47" t="s">
        <v>14</v>
      </c>
      <c r="G22" s="53" t="s">
        <v>127</v>
      </c>
      <c r="H22" s="53" t="s">
        <v>130</v>
      </c>
      <c r="I22" s="49" t="s">
        <v>131</v>
      </c>
      <c r="J22" s="49">
        <f>0.75/12*1.2</f>
        <v>7.4999999999999997E-2</v>
      </c>
      <c r="K22" s="53" t="s">
        <v>31</v>
      </c>
      <c r="L22" s="47" t="s">
        <v>31</v>
      </c>
      <c r="M22" s="47" t="s">
        <v>31</v>
      </c>
      <c r="N22" s="17">
        <v>0</v>
      </c>
      <c r="O22" s="20">
        <f t="shared" ref="O22" si="6">D22*N22</f>
        <v>0</v>
      </c>
    </row>
    <row r="23" spans="2:22" x14ac:dyDescent="0.25">
      <c r="B23" s="46" t="s">
        <v>132</v>
      </c>
      <c r="C23" s="47" t="s">
        <v>133</v>
      </c>
      <c r="D23" s="47">
        <v>2</v>
      </c>
      <c r="E23" s="54" t="s">
        <v>134</v>
      </c>
      <c r="F23" s="47" t="s">
        <v>14</v>
      </c>
      <c r="G23" s="53" t="s">
        <v>135</v>
      </c>
      <c r="H23" s="47" t="s">
        <v>21</v>
      </c>
      <c r="I23" s="49" t="s">
        <v>136</v>
      </c>
      <c r="J23" s="50">
        <f>3.5/12*21.5/12</f>
        <v>0.52256944444444453</v>
      </c>
      <c r="K23" s="53" t="s">
        <v>103</v>
      </c>
      <c r="L23" s="47" t="s">
        <v>31</v>
      </c>
      <c r="M23" s="47" t="s">
        <v>31</v>
      </c>
      <c r="N23" s="17">
        <v>0</v>
      </c>
      <c r="O23" s="20">
        <f>D23*N23</f>
        <v>0</v>
      </c>
      <c r="P23" s="30"/>
    </row>
    <row r="24" spans="2:22" x14ac:dyDescent="0.25">
      <c r="B24" s="55" t="s">
        <v>137</v>
      </c>
      <c r="C24" s="47" t="s">
        <v>138</v>
      </c>
      <c r="D24" s="47">
        <v>1</v>
      </c>
      <c r="E24" s="54" t="s">
        <v>134</v>
      </c>
      <c r="F24" s="47" t="s">
        <v>14</v>
      </c>
      <c r="G24" s="53" t="s">
        <v>135</v>
      </c>
      <c r="H24" s="47" t="s">
        <v>21</v>
      </c>
      <c r="I24" s="49" t="s">
        <v>139</v>
      </c>
      <c r="J24" s="50">
        <f>5.5/12*13.5/12</f>
        <v>0.515625</v>
      </c>
      <c r="K24" s="53" t="s">
        <v>103</v>
      </c>
      <c r="L24" s="47" t="s">
        <v>31</v>
      </c>
      <c r="M24" s="47" t="s">
        <v>31</v>
      </c>
      <c r="N24" s="17">
        <v>0</v>
      </c>
      <c r="O24" s="20">
        <f t="shared" ref="O24" si="7">D24*N24</f>
        <v>0</v>
      </c>
      <c r="P24" s="30"/>
    </row>
    <row r="25" spans="2:22" x14ac:dyDescent="0.25">
      <c r="B25" s="46" t="s">
        <v>140</v>
      </c>
      <c r="C25" s="47" t="s">
        <v>141</v>
      </c>
      <c r="D25" s="47">
        <v>1</v>
      </c>
      <c r="E25" s="54" t="s">
        <v>134</v>
      </c>
      <c r="F25" s="47" t="s">
        <v>14</v>
      </c>
      <c r="G25" s="53" t="s">
        <v>135</v>
      </c>
      <c r="H25" s="47" t="s">
        <v>21</v>
      </c>
      <c r="I25" s="47" t="s">
        <v>142</v>
      </c>
      <c r="J25" s="50">
        <f>4.5/12*5.5/12</f>
        <v>0.171875</v>
      </c>
      <c r="K25" s="53" t="s">
        <v>103</v>
      </c>
      <c r="L25" s="47" t="s">
        <v>31</v>
      </c>
      <c r="M25" s="47" t="s">
        <v>31</v>
      </c>
      <c r="N25" s="17">
        <v>0</v>
      </c>
      <c r="O25" s="20">
        <f>D25*N25</f>
        <v>0</v>
      </c>
      <c r="P25" s="30"/>
    </row>
    <row r="26" spans="2:22" x14ac:dyDescent="0.2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30"/>
    </row>
    <row r="27" spans="2:22" s="3" customFormat="1" x14ac:dyDescent="0.25">
      <c r="B27" s="60" t="s">
        <v>143</v>
      </c>
      <c r="C27" s="61" t="s">
        <v>144</v>
      </c>
      <c r="D27" s="66">
        <v>2</v>
      </c>
      <c r="E27" s="61"/>
      <c r="F27" s="61" t="s">
        <v>14</v>
      </c>
      <c r="G27" s="89"/>
      <c r="H27" s="61" t="s">
        <v>119</v>
      </c>
      <c r="I27" s="90"/>
      <c r="J27" s="90"/>
      <c r="K27" s="90"/>
      <c r="L27" s="61"/>
      <c r="M27" s="62" t="s">
        <v>82</v>
      </c>
      <c r="N27" s="92"/>
      <c r="O27" s="64">
        <f>SUM(O28:O32)*D27</f>
        <v>17.389739583333334</v>
      </c>
      <c r="P27" s="28"/>
    </row>
    <row r="28" spans="2:22" x14ac:dyDescent="0.25">
      <c r="B28" s="46" t="s">
        <v>145</v>
      </c>
      <c r="C28" s="47" t="s">
        <v>24</v>
      </c>
      <c r="D28" s="47">
        <v>1</v>
      </c>
      <c r="E28" s="54" t="s">
        <v>99</v>
      </c>
      <c r="F28" s="47" t="s">
        <v>14</v>
      </c>
      <c r="G28" s="53" t="s">
        <v>100</v>
      </c>
      <c r="H28" s="47" t="s">
        <v>101</v>
      </c>
      <c r="I28" s="47" t="s">
        <v>146</v>
      </c>
      <c r="J28" s="50">
        <f>12.5/12*24/12</f>
        <v>2.0833333333333335</v>
      </c>
      <c r="K28" s="53" t="s">
        <v>103</v>
      </c>
      <c r="L28" s="47" t="s">
        <v>31</v>
      </c>
      <c r="M28" s="47" t="s">
        <v>31</v>
      </c>
      <c r="N28" s="17">
        <f>J28/16*28.68/D28*1.1</f>
        <v>4.1078125000000005</v>
      </c>
      <c r="O28" s="20">
        <f>N28*D28</f>
        <v>4.1078125000000005</v>
      </c>
      <c r="P28" s="30"/>
    </row>
    <row r="29" spans="2:22" x14ac:dyDescent="0.25">
      <c r="B29" s="46" t="s">
        <v>147</v>
      </c>
      <c r="C29" s="47" t="s">
        <v>26</v>
      </c>
      <c r="D29" s="47">
        <v>1</v>
      </c>
      <c r="E29" s="54" t="s">
        <v>99</v>
      </c>
      <c r="F29" s="47" t="s">
        <v>14</v>
      </c>
      <c r="G29" s="53" t="s">
        <v>100</v>
      </c>
      <c r="H29" s="47" t="s">
        <v>101</v>
      </c>
      <c r="I29" s="47" t="s">
        <v>146</v>
      </c>
      <c r="J29" s="50">
        <f>12.5/12*24/12</f>
        <v>2.0833333333333335</v>
      </c>
      <c r="K29" s="53" t="s">
        <v>103</v>
      </c>
      <c r="L29" s="47" t="s">
        <v>31</v>
      </c>
      <c r="M29" s="47" t="s">
        <v>31</v>
      </c>
      <c r="N29" s="17">
        <f>J29/16*28.68/D29*1.1</f>
        <v>4.1078125000000005</v>
      </c>
      <c r="O29" s="20">
        <f>N29*D29</f>
        <v>4.1078125000000005</v>
      </c>
      <c r="P29" s="30"/>
    </row>
    <row r="30" spans="2:22" x14ac:dyDescent="0.25">
      <c r="B30" s="46" t="s">
        <v>148</v>
      </c>
      <c r="C30" s="47" t="s">
        <v>25</v>
      </c>
      <c r="D30" s="47">
        <v>5</v>
      </c>
      <c r="E30" s="54" t="s">
        <v>99</v>
      </c>
      <c r="F30" s="47" t="s">
        <v>14</v>
      </c>
      <c r="G30" s="53" t="s">
        <v>100</v>
      </c>
      <c r="H30" s="47" t="s">
        <v>101</v>
      </c>
      <c r="I30" s="47" t="s">
        <v>149</v>
      </c>
      <c r="J30" s="50">
        <f>5/12*7/12</f>
        <v>0.24305555555555558</v>
      </c>
      <c r="K30" s="53" t="s">
        <v>103</v>
      </c>
      <c r="L30" s="47" t="s">
        <v>31</v>
      </c>
      <c r="M30" s="47" t="s">
        <v>31</v>
      </c>
      <c r="N30" s="17">
        <f>J30/16*28.68/D30*1.1</f>
        <v>9.5848958333333345E-2</v>
      </c>
      <c r="O30" s="20">
        <f t="shared" ref="O30:O32" si="8">N30*D30</f>
        <v>0.47924479166666673</v>
      </c>
      <c r="P30" s="30"/>
    </row>
    <row r="31" spans="2:22" x14ac:dyDescent="0.25">
      <c r="B31" s="46" t="s">
        <v>150</v>
      </c>
      <c r="C31" s="47" t="s">
        <v>151</v>
      </c>
      <c r="D31" s="47">
        <v>1</v>
      </c>
      <c r="E31" s="54" t="s">
        <v>152</v>
      </c>
      <c r="F31" s="47" t="s">
        <v>7</v>
      </c>
      <c r="G31" s="53" t="s">
        <v>20</v>
      </c>
      <c r="H31" s="47" t="s">
        <v>153</v>
      </c>
      <c r="I31" s="47" t="s">
        <v>154</v>
      </c>
      <c r="J31" s="50"/>
      <c r="K31" s="53" t="s">
        <v>155</v>
      </c>
      <c r="L31" s="47" t="s">
        <v>31</v>
      </c>
      <c r="M31" s="47" t="s">
        <v>31</v>
      </c>
      <c r="N31" s="17"/>
      <c r="O31" s="20">
        <f t="shared" si="8"/>
        <v>0</v>
      </c>
      <c r="P31" s="30"/>
    </row>
    <row r="32" spans="2:22" x14ac:dyDescent="0.25">
      <c r="B32" s="46" t="s">
        <v>117</v>
      </c>
      <c r="C32" s="47" t="s">
        <v>118</v>
      </c>
      <c r="D32" s="47">
        <v>1</v>
      </c>
      <c r="E32" s="57" t="s">
        <v>28</v>
      </c>
      <c r="F32" s="47" t="s">
        <v>29</v>
      </c>
      <c r="G32" s="53" t="s">
        <v>17</v>
      </c>
      <c r="H32" s="57" t="s">
        <v>28</v>
      </c>
      <c r="I32" s="57" t="s">
        <v>28</v>
      </c>
      <c r="J32" s="57" t="s">
        <v>28</v>
      </c>
      <c r="K32" s="58" t="s">
        <v>28</v>
      </c>
      <c r="L32" s="47" t="s">
        <v>31</v>
      </c>
      <c r="M32" s="47" t="s">
        <v>31</v>
      </c>
      <c r="N32" s="17">
        <v>0</v>
      </c>
      <c r="O32" s="20">
        <f t="shared" si="8"/>
        <v>0</v>
      </c>
    </row>
    <row r="33" spans="2:17" x14ac:dyDescent="0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59"/>
      <c r="N33" s="69"/>
      <c r="O33" s="68"/>
    </row>
    <row r="34" spans="2:17" s="3" customFormat="1" x14ac:dyDescent="0.25">
      <c r="B34" s="60" t="s">
        <v>36</v>
      </c>
      <c r="C34" s="61" t="s">
        <v>203</v>
      </c>
      <c r="D34" s="66">
        <v>2</v>
      </c>
      <c r="E34" s="61"/>
      <c r="F34" s="61" t="s">
        <v>14</v>
      </c>
      <c r="G34" s="89"/>
      <c r="H34" s="61" t="s">
        <v>27</v>
      </c>
      <c r="I34" s="90"/>
      <c r="J34" s="90"/>
      <c r="K34" s="90"/>
      <c r="L34" s="61"/>
      <c r="M34" s="61" t="s">
        <v>82</v>
      </c>
      <c r="N34" s="92"/>
      <c r="O34" s="64">
        <f>SUM(O35:O37)*D34</f>
        <v>145.93</v>
      </c>
      <c r="P34" s="28"/>
    </row>
    <row r="35" spans="2:17" x14ac:dyDescent="0.25">
      <c r="B35" s="46" t="s">
        <v>37</v>
      </c>
      <c r="C35" s="47" t="s">
        <v>38</v>
      </c>
      <c r="D35" s="47">
        <v>1</v>
      </c>
      <c r="E35" s="57" t="s">
        <v>28</v>
      </c>
      <c r="F35" s="47" t="s">
        <v>29</v>
      </c>
      <c r="G35" s="53" t="s">
        <v>30</v>
      </c>
      <c r="H35" s="57" t="s">
        <v>28</v>
      </c>
      <c r="I35" s="57" t="s">
        <v>28</v>
      </c>
      <c r="J35" s="57" t="s">
        <v>28</v>
      </c>
      <c r="K35" s="58" t="s">
        <v>28</v>
      </c>
      <c r="L35" s="47" t="s">
        <v>31</v>
      </c>
      <c r="M35" s="47" t="s">
        <v>31</v>
      </c>
      <c r="N35" s="73">
        <v>46.1</v>
      </c>
      <c r="O35" s="20">
        <f>N35*D35</f>
        <v>46.1</v>
      </c>
    </row>
    <row r="36" spans="2:17" x14ac:dyDescent="0.25">
      <c r="B36" s="46" t="s">
        <v>32</v>
      </c>
      <c r="C36" s="71" t="s">
        <v>33</v>
      </c>
      <c r="D36" s="47">
        <v>1</v>
      </c>
      <c r="E36" s="72" t="s">
        <v>28</v>
      </c>
      <c r="F36" s="47" t="s">
        <v>29</v>
      </c>
      <c r="G36" s="53" t="s">
        <v>30</v>
      </c>
      <c r="H36" s="57" t="s">
        <v>28</v>
      </c>
      <c r="I36" s="57" t="s">
        <v>28</v>
      </c>
      <c r="J36" s="57" t="s">
        <v>28</v>
      </c>
      <c r="K36" s="58" t="s">
        <v>28</v>
      </c>
      <c r="L36" s="47" t="s">
        <v>31</v>
      </c>
      <c r="M36" s="47" t="s">
        <v>31</v>
      </c>
      <c r="N36" s="73">
        <f>44.99/2</f>
        <v>22.495000000000001</v>
      </c>
      <c r="O36" s="20">
        <f t="shared" ref="O36:O37" si="9">N36*D36</f>
        <v>22.495000000000001</v>
      </c>
    </row>
    <row r="37" spans="2:17" x14ac:dyDescent="0.25">
      <c r="B37" s="46" t="s">
        <v>34</v>
      </c>
      <c r="C37" s="47" t="s">
        <v>35</v>
      </c>
      <c r="D37" s="47">
        <v>1</v>
      </c>
      <c r="E37" s="57" t="s">
        <v>28</v>
      </c>
      <c r="F37" s="47" t="s">
        <v>29</v>
      </c>
      <c r="G37" s="53" t="s">
        <v>30</v>
      </c>
      <c r="H37" s="57" t="s">
        <v>28</v>
      </c>
      <c r="I37" s="57" t="s">
        <v>28</v>
      </c>
      <c r="J37" s="57" t="s">
        <v>28</v>
      </c>
      <c r="K37" s="58" t="s">
        <v>28</v>
      </c>
      <c r="L37" s="47" t="s">
        <v>31</v>
      </c>
      <c r="M37" s="47" t="s">
        <v>31</v>
      </c>
      <c r="N37" s="74">
        <v>4.37</v>
      </c>
      <c r="O37" s="20">
        <f t="shared" si="9"/>
        <v>4.37</v>
      </c>
    </row>
    <row r="38" spans="2:17" x14ac:dyDescent="0.2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59"/>
      <c r="N38" s="69"/>
      <c r="O38" s="68"/>
    </row>
    <row r="39" spans="2:17" s="3" customFormat="1" x14ac:dyDescent="0.25">
      <c r="B39" s="60" t="s">
        <v>39</v>
      </c>
      <c r="C39" s="61" t="s">
        <v>40</v>
      </c>
      <c r="D39" s="66">
        <v>1</v>
      </c>
      <c r="E39" s="61"/>
      <c r="F39" s="61" t="s">
        <v>14</v>
      </c>
      <c r="G39" s="89" t="s">
        <v>127</v>
      </c>
      <c r="H39" s="61" t="s">
        <v>15</v>
      </c>
      <c r="I39" s="90"/>
      <c r="J39" s="90"/>
      <c r="K39" s="62" t="s">
        <v>82</v>
      </c>
      <c r="L39" s="61"/>
      <c r="M39" s="91"/>
      <c r="N39" s="92"/>
      <c r="O39" s="64">
        <f>SUM(O40:O42)*2</f>
        <v>0</v>
      </c>
      <c r="P39" s="28"/>
    </row>
    <row r="40" spans="2:17" x14ac:dyDescent="0.25">
      <c r="B40" s="46" t="s">
        <v>41</v>
      </c>
      <c r="C40" s="47" t="s">
        <v>42</v>
      </c>
      <c r="D40" s="47">
        <v>1</v>
      </c>
      <c r="E40" s="54" t="s">
        <v>156</v>
      </c>
      <c r="F40" s="47" t="s">
        <v>14</v>
      </c>
      <c r="G40" s="53" t="s">
        <v>17</v>
      </c>
      <c r="H40" s="54" t="s">
        <v>18</v>
      </c>
      <c r="I40" s="57" t="s">
        <v>28</v>
      </c>
      <c r="J40" s="57" t="s">
        <v>28</v>
      </c>
      <c r="K40" s="53" t="s">
        <v>31</v>
      </c>
      <c r="L40" s="47" t="s">
        <v>31</v>
      </c>
      <c r="M40" s="47" t="s">
        <v>31</v>
      </c>
      <c r="N40" s="17">
        <v>0</v>
      </c>
      <c r="O40" s="20">
        <f>N40*D40</f>
        <v>0</v>
      </c>
    </row>
    <row r="41" spans="2:17" x14ac:dyDescent="0.25">
      <c r="B41" s="70" t="s">
        <v>44</v>
      </c>
      <c r="C41" s="47" t="s">
        <v>45</v>
      </c>
      <c r="D41" s="47">
        <v>1</v>
      </c>
      <c r="E41" s="54" t="s">
        <v>156</v>
      </c>
      <c r="F41" s="47" t="s">
        <v>14</v>
      </c>
      <c r="G41" s="53" t="s">
        <v>17</v>
      </c>
      <c r="H41" s="54" t="s">
        <v>18</v>
      </c>
      <c r="I41" s="57" t="s">
        <v>28</v>
      </c>
      <c r="J41" s="57" t="s">
        <v>28</v>
      </c>
      <c r="K41" s="53" t="s">
        <v>31</v>
      </c>
      <c r="L41" s="47" t="s">
        <v>31</v>
      </c>
      <c r="M41" s="47" t="s">
        <v>31</v>
      </c>
      <c r="N41" s="17">
        <v>0</v>
      </c>
      <c r="O41" s="20">
        <f t="shared" ref="O41" si="10">N41*D41</f>
        <v>0</v>
      </c>
    </row>
    <row r="42" spans="2:17" x14ac:dyDescent="0.25">
      <c r="B42" s="46" t="s">
        <v>157</v>
      </c>
      <c r="C42" s="76" t="s">
        <v>158</v>
      </c>
      <c r="D42" s="47">
        <v>1</v>
      </c>
      <c r="E42" s="54" t="s">
        <v>134</v>
      </c>
      <c r="F42" s="47" t="s">
        <v>14</v>
      </c>
      <c r="G42" s="53" t="s">
        <v>17</v>
      </c>
      <c r="H42" s="54" t="s">
        <v>21</v>
      </c>
      <c r="I42" s="47" t="s">
        <v>159</v>
      </c>
      <c r="J42" s="50">
        <f>1/12*3/12</f>
        <v>2.0833333333333332E-2</v>
      </c>
      <c r="K42" s="53" t="s">
        <v>103</v>
      </c>
      <c r="L42" s="47" t="s">
        <v>31</v>
      </c>
      <c r="M42" s="47" t="s">
        <v>31</v>
      </c>
      <c r="N42" s="17">
        <v>0</v>
      </c>
      <c r="O42" s="20">
        <f t="shared" ref="O42" si="11">N42*D42</f>
        <v>0</v>
      </c>
    </row>
    <row r="43" spans="2:17" x14ac:dyDescent="0.25">
      <c r="B43" s="75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9"/>
      <c r="O43" s="59"/>
    </row>
    <row r="44" spans="2:17" s="3" customFormat="1" x14ac:dyDescent="0.25">
      <c r="B44" s="77" t="s">
        <v>160</v>
      </c>
      <c r="C44" s="61" t="s">
        <v>46</v>
      </c>
      <c r="D44" s="61"/>
      <c r="E44" s="61"/>
      <c r="F44" s="61" t="s">
        <v>14</v>
      </c>
      <c r="G44" s="89"/>
      <c r="H44" s="61"/>
      <c r="I44" s="91"/>
      <c r="J44" s="91"/>
      <c r="K44" s="91"/>
      <c r="L44" s="61"/>
      <c r="M44" s="61"/>
      <c r="N44" s="92"/>
      <c r="O44" s="64">
        <f>SUM(O45:O68)</f>
        <v>303.91190000000006</v>
      </c>
      <c r="P44" s="28"/>
    </row>
    <row r="45" spans="2:17" x14ac:dyDescent="0.25">
      <c r="B45" s="78">
        <v>601</v>
      </c>
      <c r="C45" s="47" t="s">
        <v>47</v>
      </c>
      <c r="D45" s="47">
        <v>1</v>
      </c>
      <c r="E45" s="47" t="s">
        <v>156</v>
      </c>
      <c r="F45" s="49" t="s">
        <v>14</v>
      </c>
      <c r="G45" s="48" t="s">
        <v>17</v>
      </c>
      <c r="H45" s="47" t="s">
        <v>18</v>
      </c>
      <c r="I45" s="49"/>
      <c r="J45" s="49"/>
      <c r="K45" s="53" t="s">
        <v>31</v>
      </c>
      <c r="L45" s="47" t="s">
        <v>31</v>
      </c>
      <c r="M45" s="47" t="s">
        <v>31</v>
      </c>
      <c r="N45" s="17">
        <v>0</v>
      </c>
      <c r="O45" s="20">
        <f t="shared" ref="O45:O58" si="12">N45*D45</f>
        <v>0</v>
      </c>
    </row>
    <row r="46" spans="2:17" x14ac:dyDescent="0.25">
      <c r="B46" s="79" t="s">
        <v>161</v>
      </c>
      <c r="C46" s="47" t="s">
        <v>162</v>
      </c>
      <c r="D46" s="47">
        <v>2</v>
      </c>
      <c r="E46" s="54" t="s">
        <v>134</v>
      </c>
      <c r="F46" s="47" t="s">
        <v>14</v>
      </c>
      <c r="G46" s="53" t="s">
        <v>135</v>
      </c>
      <c r="H46" s="47" t="s">
        <v>21</v>
      </c>
      <c r="I46" s="49" t="s">
        <v>142</v>
      </c>
      <c r="J46" s="50">
        <f>4/12*4/12</f>
        <v>0.1111111111111111</v>
      </c>
      <c r="K46" s="53" t="s">
        <v>103</v>
      </c>
      <c r="L46" s="47" t="s">
        <v>31</v>
      </c>
      <c r="M46" s="47" t="s">
        <v>31</v>
      </c>
      <c r="N46" s="17">
        <v>0</v>
      </c>
      <c r="O46" s="20">
        <f>N46*D46</f>
        <v>0</v>
      </c>
      <c r="P46" s="30"/>
    </row>
    <row r="47" spans="2:17" x14ac:dyDescent="0.25">
      <c r="B47" s="79" t="s">
        <v>163</v>
      </c>
      <c r="C47" s="47" t="s">
        <v>164</v>
      </c>
      <c r="D47" s="47">
        <v>1</v>
      </c>
      <c r="E47" s="54" t="s">
        <v>134</v>
      </c>
      <c r="F47" s="47" t="s">
        <v>14</v>
      </c>
      <c r="G47" s="53" t="s">
        <v>135</v>
      </c>
      <c r="H47" s="47" t="s">
        <v>21</v>
      </c>
      <c r="I47" s="49" t="s">
        <v>165</v>
      </c>
      <c r="J47" s="50">
        <f>3/12*6/12</f>
        <v>0.125</v>
      </c>
      <c r="K47" s="53" t="s">
        <v>103</v>
      </c>
      <c r="L47" s="47" t="s">
        <v>31</v>
      </c>
      <c r="M47" s="47" t="s">
        <v>31</v>
      </c>
      <c r="N47" s="17">
        <v>0</v>
      </c>
      <c r="O47" s="20">
        <f>N47*D47</f>
        <v>0</v>
      </c>
      <c r="P47" s="30"/>
    </row>
    <row r="48" spans="2:17" x14ac:dyDescent="0.25">
      <c r="B48" s="79" t="s">
        <v>166</v>
      </c>
      <c r="C48" s="47" t="s">
        <v>22</v>
      </c>
      <c r="D48" s="47">
        <v>4</v>
      </c>
      <c r="E48" s="54" t="s">
        <v>134</v>
      </c>
      <c r="F48" s="47" t="s">
        <v>14</v>
      </c>
      <c r="G48" s="53" t="s">
        <v>135</v>
      </c>
      <c r="H48" s="47" t="s">
        <v>21</v>
      </c>
      <c r="I48" s="49" t="s">
        <v>167</v>
      </c>
      <c r="J48" s="50">
        <f>2/12*2/12</f>
        <v>2.7777777777777776E-2</v>
      </c>
      <c r="K48" s="53" t="s">
        <v>103</v>
      </c>
      <c r="L48" s="47" t="s">
        <v>31</v>
      </c>
      <c r="M48" s="47" t="s">
        <v>31</v>
      </c>
      <c r="N48" s="17">
        <v>0</v>
      </c>
      <c r="O48" s="20">
        <f>N48*D48</f>
        <v>0</v>
      </c>
      <c r="Q48" s="31"/>
    </row>
    <row r="49" spans="2:16" x14ac:dyDescent="0.25">
      <c r="B49" s="80" t="s">
        <v>168</v>
      </c>
      <c r="C49" s="47" t="s">
        <v>169</v>
      </c>
      <c r="D49" s="47">
        <v>1</v>
      </c>
      <c r="E49" s="81" t="s">
        <v>170</v>
      </c>
      <c r="F49" s="71" t="s">
        <v>29</v>
      </c>
      <c r="G49" s="53" t="s">
        <v>135</v>
      </c>
      <c r="H49" s="54" t="s">
        <v>171</v>
      </c>
      <c r="I49" s="57" t="s">
        <v>28</v>
      </c>
      <c r="J49" s="57" t="s">
        <v>28</v>
      </c>
      <c r="K49" s="53" t="s">
        <v>31</v>
      </c>
      <c r="L49" s="47" t="s">
        <v>31</v>
      </c>
      <c r="M49" s="47" t="s">
        <v>31</v>
      </c>
      <c r="N49" s="17"/>
      <c r="O49" s="20">
        <f>N49*D49</f>
        <v>0</v>
      </c>
      <c r="P49" s="27"/>
    </row>
    <row r="50" spans="2:16" x14ac:dyDescent="0.25">
      <c r="B50" s="79" t="s">
        <v>49</v>
      </c>
      <c r="C50" s="47" t="s">
        <v>50</v>
      </c>
      <c r="D50" s="47">
        <v>2</v>
      </c>
      <c r="E50" s="47" t="s">
        <v>51</v>
      </c>
      <c r="F50" s="47" t="s">
        <v>14</v>
      </c>
      <c r="G50" s="53" t="s">
        <v>48</v>
      </c>
      <c r="H50" s="63" t="s">
        <v>43</v>
      </c>
      <c r="I50" s="49" t="s">
        <v>172</v>
      </c>
      <c r="J50" s="49"/>
      <c r="K50" s="53" t="s">
        <v>31</v>
      </c>
      <c r="L50" s="47" t="s">
        <v>31</v>
      </c>
      <c r="M50" s="47" t="s">
        <v>31</v>
      </c>
      <c r="N50" s="17">
        <f>1.14/2</f>
        <v>0.56999999999999995</v>
      </c>
      <c r="O50" s="20">
        <f>N50*D50</f>
        <v>1.1399999999999999</v>
      </c>
    </row>
    <row r="51" spans="2:16" x14ac:dyDescent="0.25">
      <c r="B51" s="82" t="s">
        <v>173</v>
      </c>
      <c r="C51" s="47" t="s">
        <v>174</v>
      </c>
      <c r="D51" s="47">
        <v>2</v>
      </c>
      <c r="E51" s="57" t="s">
        <v>28</v>
      </c>
      <c r="F51" s="47" t="s">
        <v>29</v>
      </c>
      <c r="G51" s="47" t="s">
        <v>48</v>
      </c>
      <c r="H51" s="83" t="s">
        <v>175</v>
      </c>
      <c r="I51" s="57" t="s">
        <v>28</v>
      </c>
      <c r="J51" s="57" t="s">
        <v>28</v>
      </c>
      <c r="K51" s="58" t="s">
        <v>28</v>
      </c>
      <c r="L51" s="47" t="s">
        <v>31</v>
      </c>
      <c r="M51" s="47" t="s">
        <v>31</v>
      </c>
      <c r="N51" s="17">
        <v>5.27</v>
      </c>
      <c r="O51" s="20">
        <f t="shared" si="12"/>
        <v>10.54</v>
      </c>
    </row>
    <row r="52" spans="2:16" x14ac:dyDescent="0.25">
      <c r="B52" s="82" t="s">
        <v>52</v>
      </c>
      <c r="C52" s="47" t="s">
        <v>53</v>
      </c>
      <c r="D52" s="47">
        <v>2</v>
      </c>
      <c r="E52" s="57" t="s">
        <v>28</v>
      </c>
      <c r="F52" s="47" t="s">
        <v>29</v>
      </c>
      <c r="G52" s="47" t="s">
        <v>54</v>
      </c>
      <c r="H52" s="83" t="s">
        <v>176</v>
      </c>
      <c r="I52" s="57" t="s">
        <v>28</v>
      </c>
      <c r="J52" s="57" t="s">
        <v>28</v>
      </c>
      <c r="K52" s="58" t="s">
        <v>28</v>
      </c>
      <c r="L52" s="47" t="s">
        <v>31</v>
      </c>
      <c r="M52" s="47" t="s">
        <v>31</v>
      </c>
      <c r="N52" s="17">
        <v>11.75</v>
      </c>
      <c r="O52" s="20">
        <f>N52*D52</f>
        <v>23.5</v>
      </c>
    </row>
    <row r="53" spans="2:16" x14ac:dyDescent="0.25">
      <c r="B53" s="82" t="s">
        <v>60</v>
      </c>
      <c r="C53" s="47" t="s">
        <v>61</v>
      </c>
      <c r="D53" s="47">
        <v>1</v>
      </c>
      <c r="E53" s="57" t="s">
        <v>28</v>
      </c>
      <c r="F53" s="47" t="s">
        <v>29</v>
      </c>
      <c r="G53" s="47" t="s">
        <v>30</v>
      </c>
      <c r="H53" s="57" t="s">
        <v>28</v>
      </c>
      <c r="I53" s="57" t="s">
        <v>28</v>
      </c>
      <c r="J53" s="57" t="s">
        <v>28</v>
      </c>
      <c r="K53" s="58" t="s">
        <v>28</v>
      </c>
      <c r="L53" s="47" t="s">
        <v>31</v>
      </c>
      <c r="M53" s="47" t="s">
        <v>31</v>
      </c>
      <c r="N53" s="17">
        <v>44.99</v>
      </c>
      <c r="O53" s="20">
        <f>N53*D53</f>
        <v>44.99</v>
      </c>
    </row>
    <row r="54" spans="2:16" x14ac:dyDescent="0.25">
      <c r="B54" s="82" t="s">
        <v>62</v>
      </c>
      <c r="C54" s="47" t="s">
        <v>63</v>
      </c>
      <c r="D54" s="47">
        <v>1</v>
      </c>
      <c r="E54" s="57" t="s">
        <v>28</v>
      </c>
      <c r="F54" s="47" t="s">
        <v>29</v>
      </c>
      <c r="G54" s="47" t="s">
        <v>30</v>
      </c>
      <c r="H54" s="57" t="s">
        <v>28</v>
      </c>
      <c r="I54" s="57" t="s">
        <v>28</v>
      </c>
      <c r="J54" s="57" t="s">
        <v>28</v>
      </c>
      <c r="K54" s="58" t="s">
        <v>28</v>
      </c>
      <c r="L54" s="47" t="s">
        <v>31</v>
      </c>
      <c r="M54" s="47" t="s">
        <v>31</v>
      </c>
      <c r="N54" s="17">
        <v>189</v>
      </c>
      <c r="O54" s="20">
        <f>N54*D54</f>
        <v>189</v>
      </c>
      <c r="P54" s="29" t="s">
        <v>64</v>
      </c>
    </row>
    <row r="55" spans="2:16" x14ac:dyDescent="0.25">
      <c r="B55" s="82" t="s">
        <v>70</v>
      </c>
      <c r="C55" s="47" t="s">
        <v>71</v>
      </c>
      <c r="D55" s="47">
        <v>1</v>
      </c>
      <c r="E55" s="72" t="s">
        <v>28</v>
      </c>
      <c r="F55" s="71" t="s">
        <v>29</v>
      </c>
      <c r="G55" s="84" t="s">
        <v>30</v>
      </c>
      <c r="H55" s="57" t="s">
        <v>28</v>
      </c>
      <c r="I55" s="57" t="s">
        <v>28</v>
      </c>
      <c r="J55" s="57" t="s">
        <v>28</v>
      </c>
      <c r="K55" s="58" t="s">
        <v>28</v>
      </c>
      <c r="L55" s="47" t="s">
        <v>31</v>
      </c>
      <c r="M55" s="47" t="s">
        <v>31</v>
      </c>
      <c r="N55" s="17">
        <v>13.08</v>
      </c>
      <c r="O55" s="22">
        <f>N55*D55</f>
        <v>13.08</v>
      </c>
      <c r="P55" s="29" t="s">
        <v>177</v>
      </c>
    </row>
    <row r="56" spans="2:16" x14ac:dyDescent="0.25">
      <c r="B56" s="82" t="s">
        <v>178</v>
      </c>
      <c r="C56" s="47" t="s">
        <v>179</v>
      </c>
      <c r="D56" s="47">
        <v>2</v>
      </c>
      <c r="E56" s="57" t="s">
        <v>28</v>
      </c>
      <c r="F56" s="47" t="s">
        <v>29</v>
      </c>
      <c r="G56" s="53" t="s">
        <v>180</v>
      </c>
      <c r="H56" s="57" t="s">
        <v>28</v>
      </c>
      <c r="I56" s="57" t="s">
        <v>28</v>
      </c>
      <c r="J56" s="57" t="s">
        <v>28</v>
      </c>
      <c r="K56" s="58" t="s">
        <v>28</v>
      </c>
      <c r="L56" s="47" t="s">
        <v>31</v>
      </c>
      <c r="M56" s="47" t="s">
        <v>31</v>
      </c>
      <c r="N56" s="26">
        <v>0</v>
      </c>
      <c r="O56" s="20">
        <f>N56*D56</f>
        <v>0</v>
      </c>
    </row>
    <row r="57" spans="2:16" x14ac:dyDescent="0.25">
      <c r="B57" s="82" t="s">
        <v>56</v>
      </c>
      <c r="C57" s="47" t="s">
        <v>57</v>
      </c>
      <c r="D57" s="47">
        <v>19</v>
      </c>
      <c r="E57" s="57" t="s">
        <v>28</v>
      </c>
      <c r="F57" s="47" t="s">
        <v>29</v>
      </c>
      <c r="G57" s="53" t="s">
        <v>181</v>
      </c>
      <c r="H57" s="57" t="s">
        <v>28</v>
      </c>
      <c r="I57" s="57" t="s">
        <v>28</v>
      </c>
      <c r="J57" s="57" t="s">
        <v>28</v>
      </c>
      <c r="K57" s="58" t="s">
        <v>28</v>
      </c>
      <c r="L57" s="47" t="s">
        <v>31</v>
      </c>
      <c r="M57" s="47" t="s">
        <v>31</v>
      </c>
      <c r="N57" s="17">
        <v>0.14000000000000001</v>
      </c>
      <c r="O57" s="20">
        <f t="shared" si="12"/>
        <v>2.66</v>
      </c>
    </row>
    <row r="58" spans="2:16" x14ac:dyDescent="0.25">
      <c r="B58" s="82" t="s">
        <v>182</v>
      </c>
      <c r="C58" s="47" t="s">
        <v>183</v>
      </c>
      <c r="D58" s="47">
        <v>11</v>
      </c>
      <c r="E58" s="57" t="s">
        <v>28</v>
      </c>
      <c r="F58" s="47" t="s">
        <v>29</v>
      </c>
      <c r="G58" s="53" t="s">
        <v>181</v>
      </c>
      <c r="H58" s="57" t="s">
        <v>28</v>
      </c>
      <c r="I58" s="57" t="s">
        <v>28</v>
      </c>
      <c r="J58" s="57" t="s">
        <v>28</v>
      </c>
      <c r="K58" s="58" t="s">
        <v>28</v>
      </c>
      <c r="L58" s="47" t="s">
        <v>31</v>
      </c>
      <c r="M58" s="47" t="s">
        <v>31</v>
      </c>
      <c r="N58" s="17">
        <v>0.44</v>
      </c>
      <c r="O58" s="20">
        <f t="shared" si="12"/>
        <v>4.84</v>
      </c>
    </row>
    <row r="59" spans="2:16" x14ac:dyDescent="0.25">
      <c r="B59" s="82" t="s">
        <v>58</v>
      </c>
      <c r="C59" s="47" t="s">
        <v>59</v>
      </c>
      <c r="D59" s="47">
        <v>8</v>
      </c>
      <c r="E59" s="57" t="s">
        <v>28</v>
      </c>
      <c r="F59" s="47" t="s">
        <v>29</v>
      </c>
      <c r="G59" s="53" t="s">
        <v>181</v>
      </c>
      <c r="H59" s="57" t="s">
        <v>28</v>
      </c>
      <c r="I59" s="57" t="s">
        <v>28</v>
      </c>
      <c r="J59" s="57" t="s">
        <v>28</v>
      </c>
      <c r="K59" s="58" t="s">
        <v>28</v>
      </c>
      <c r="L59" s="47" t="s">
        <v>31</v>
      </c>
      <c r="M59" s="47" t="s">
        <v>31</v>
      </c>
      <c r="N59" s="26">
        <v>0</v>
      </c>
      <c r="O59" s="20">
        <f t="shared" ref="O59:O60" si="13">N59*D59</f>
        <v>0</v>
      </c>
    </row>
    <row r="60" spans="2:16" x14ac:dyDescent="0.25">
      <c r="B60" s="82" t="s">
        <v>184</v>
      </c>
      <c r="C60" s="47" t="s">
        <v>185</v>
      </c>
      <c r="D60" s="47">
        <v>4</v>
      </c>
      <c r="E60" s="57" t="s">
        <v>28</v>
      </c>
      <c r="F60" s="47" t="s">
        <v>29</v>
      </c>
      <c r="G60" s="53" t="s">
        <v>181</v>
      </c>
      <c r="H60" s="54" t="s">
        <v>186</v>
      </c>
      <c r="I60" s="57" t="s">
        <v>28</v>
      </c>
      <c r="J60" s="57" t="s">
        <v>28</v>
      </c>
      <c r="K60" s="58" t="s">
        <v>28</v>
      </c>
      <c r="L60" s="47" t="s">
        <v>31</v>
      </c>
      <c r="M60" s="47" t="s">
        <v>31</v>
      </c>
      <c r="N60" s="26">
        <v>0</v>
      </c>
      <c r="O60" s="20">
        <f t="shared" si="13"/>
        <v>0</v>
      </c>
    </row>
    <row r="61" spans="2:16" x14ac:dyDescent="0.25">
      <c r="B61" s="85" t="s">
        <v>67</v>
      </c>
      <c r="C61" s="71" t="s">
        <v>68</v>
      </c>
      <c r="D61" s="71">
        <v>1</v>
      </c>
      <c r="E61" s="72" t="s">
        <v>28</v>
      </c>
      <c r="F61" s="71" t="s">
        <v>29</v>
      </c>
      <c r="G61" s="84" t="s">
        <v>17</v>
      </c>
      <c r="H61" s="81" t="s">
        <v>69</v>
      </c>
      <c r="I61" s="57" t="s">
        <v>28</v>
      </c>
      <c r="J61" s="57" t="s">
        <v>28</v>
      </c>
      <c r="K61" s="58" t="s">
        <v>28</v>
      </c>
      <c r="L61" s="54" t="s">
        <v>31</v>
      </c>
      <c r="M61" s="54" t="s">
        <v>31</v>
      </c>
      <c r="N61" s="24">
        <v>1</v>
      </c>
      <c r="O61" s="22">
        <f t="shared" ref="O61:O67" si="14">N61*D61</f>
        <v>1</v>
      </c>
    </row>
    <row r="62" spans="2:16" x14ac:dyDescent="0.25">
      <c r="B62" s="85" t="s">
        <v>65</v>
      </c>
      <c r="C62" s="71" t="s">
        <v>187</v>
      </c>
      <c r="D62" s="71">
        <v>1</v>
      </c>
      <c r="E62" s="72" t="s">
        <v>28</v>
      </c>
      <c r="F62" s="71" t="s">
        <v>29</v>
      </c>
      <c r="G62" s="84" t="s">
        <v>188</v>
      </c>
      <c r="H62" s="57" t="s">
        <v>28</v>
      </c>
      <c r="I62" s="57" t="s">
        <v>28</v>
      </c>
      <c r="J62" s="57" t="s">
        <v>28</v>
      </c>
      <c r="K62" s="58" t="s">
        <v>28</v>
      </c>
      <c r="L62" s="54" t="s">
        <v>31</v>
      </c>
      <c r="M62" s="54" t="s">
        <v>31</v>
      </c>
      <c r="N62" s="24">
        <v>5.69</v>
      </c>
      <c r="O62" s="22">
        <f t="shared" si="14"/>
        <v>5.69</v>
      </c>
    </row>
    <row r="63" spans="2:16" x14ac:dyDescent="0.25">
      <c r="B63" s="85" t="s">
        <v>189</v>
      </c>
      <c r="C63" s="71" t="s">
        <v>190</v>
      </c>
      <c r="D63" s="71">
        <v>0.25</v>
      </c>
      <c r="E63" s="72" t="s">
        <v>28</v>
      </c>
      <c r="F63" s="71" t="s">
        <v>29</v>
      </c>
      <c r="G63" s="84" t="s">
        <v>188</v>
      </c>
      <c r="H63" s="57" t="s">
        <v>28</v>
      </c>
      <c r="I63" s="57" t="s">
        <v>28</v>
      </c>
      <c r="J63" s="57" t="s">
        <v>28</v>
      </c>
      <c r="K63" s="58" t="s">
        <v>28</v>
      </c>
      <c r="L63" s="54" t="s">
        <v>31</v>
      </c>
      <c r="M63" s="54" t="s">
        <v>31</v>
      </c>
      <c r="N63" s="24">
        <v>5.79</v>
      </c>
      <c r="O63" s="22">
        <f t="shared" si="14"/>
        <v>1.4475</v>
      </c>
    </row>
    <row r="64" spans="2:16" x14ac:dyDescent="0.25">
      <c r="B64" s="82" t="s">
        <v>191</v>
      </c>
      <c r="C64" s="47" t="s">
        <v>192</v>
      </c>
      <c r="D64" s="47">
        <v>2</v>
      </c>
      <c r="E64" s="57" t="s">
        <v>28</v>
      </c>
      <c r="F64" s="47" t="s">
        <v>29</v>
      </c>
      <c r="G64" s="53" t="s">
        <v>188</v>
      </c>
      <c r="H64" s="57" t="s">
        <v>28</v>
      </c>
      <c r="I64" s="57" t="s">
        <v>28</v>
      </c>
      <c r="J64" s="57" t="s">
        <v>28</v>
      </c>
      <c r="K64" s="58" t="s">
        <v>28</v>
      </c>
      <c r="L64" s="54" t="s">
        <v>31</v>
      </c>
      <c r="M64" s="54" t="s">
        <v>31</v>
      </c>
      <c r="N64" s="17">
        <f>1.79/2</f>
        <v>0.89500000000000002</v>
      </c>
      <c r="O64" s="20">
        <f t="shared" si="14"/>
        <v>1.79</v>
      </c>
    </row>
    <row r="65" spans="1:15" x14ac:dyDescent="0.25">
      <c r="B65" s="82" t="s">
        <v>193</v>
      </c>
      <c r="C65" s="71" t="s">
        <v>194</v>
      </c>
      <c r="D65" s="47">
        <v>1</v>
      </c>
      <c r="E65" s="57" t="s">
        <v>28</v>
      </c>
      <c r="F65" s="47" t="s">
        <v>29</v>
      </c>
      <c r="G65" s="53" t="s">
        <v>188</v>
      </c>
      <c r="H65" s="57" t="s">
        <v>28</v>
      </c>
      <c r="I65" s="57" t="s">
        <v>28</v>
      </c>
      <c r="J65" s="57" t="s">
        <v>28</v>
      </c>
      <c r="K65" s="58" t="s">
        <v>28</v>
      </c>
      <c r="L65" s="54" t="s">
        <v>31</v>
      </c>
      <c r="M65" s="54" t="s">
        <v>31</v>
      </c>
      <c r="N65" s="17">
        <v>1.29</v>
      </c>
      <c r="O65" s="20">
        <f t="shared" si="14"/>
        <v>1.29</v>
      </c>
    </row>
    <row r="66" spans="1:15" x14ac:dyDescent="0.25">
      <c r="A66" s="6"/>
      <c r="B66" s="82" t="s">
        <v>55</v>
      </c>
      <c r="C66" s="47" t="s">
        <v>195</v>
      </c>
      <c r="D66" s="47">
        <v>38</v>
      </c>
      <c r="E66" s="57" t="s">
        <v>28</v>
      </c>
      <c r="F66" s="47" t="s">
        <v>29</v>
      </c>
      <c r="G66" s="53" t="s">
        <v>196</v>
      </c>
      <c r="H66" s="57" t="s">
        <v>28</v>
      </c>
      <c r="I66" s="57" t="s">
        <v>28</v>
      </c>
      <c r="J66" s="57" t="s">
        <v>28</v>
      </c>
      <c r="K66" s="58" t="s">
        <v>28</v>
      </c>
      <c r="L66" s="54" t="s">
        <v>31</v>
      </c>
      <c r="M66" s="54" t="s">
        <v>31</v>
      </c>
      <c r="N66" s="17">
        <f>0.97/25</f>
        <v>3.8800000000000001E-2</v>
      </c>
      <c r="O66" s="20">
        <f t="shared" si="14"/>
        <v>1.4744000000000002</v>
      </c>
    </row>
    <row r="67" spans="1:15" x14ac:dyDescent="0.25">
      <c r="B67" s="80" t="s">
        <v>197</v>
      </c>
      <c r="C67" s="71" t="s">
        <v>198</v>
      </c>
      <c r="D67" s="47">
        <v>4</v>
      </c>
      <c r="E67" s="56" t="s">
        <v>199</v>
      </c>
      <c r="F67" s="71" t="s">
        <v>29</v>
      </c>
      <c r="G67" s="53" t="s">
        <v>196</v>
      </c>
      <c r="H67" s="57" t="s">
        <v>28</v>
      </c>
      <c r="I67" s="57" t="s">
        <v>28</v>
      </c>
      <c r="J67" s="57" t="s">
        <v>28</v>
      </c>
      <c r="K67" s="58" t="s">
        <v>28</v>
      </c>
      <c r="L67" s="54" t="s">
        <v>31</v>
      </c>
      <c r="M67" s="54" t="s">
        <v>31</v>
      </c>
      <c r="N67" s="17">
        <f>1.47/4</f>
        <v>0.36749999999999999</v>
      </c>
      <c r="O67" s="20">
        <f t="shared" si="14"/>
        <v>1.47</v>
      </c>
    </row>
    <row r="68" spans="1:15" ht="6" customHeight="1" x14ac:dyDescent="0.25">
      <c r="B68" s="25"/>
      <c r="C68" s="19"/>
      <c r="D68" s="9"/>
      <c r="E68" s="18"/>
      <c r="F68" s="9"/>
      <c r="G68" s="19"/>
      <c r="H68" s="21"/>
      <c r="I68" s="18"/>
      <c r="J68" s="18"/>
      <c r="K68" s="38"/>
      <c r="L68" s="21"/>
      <c r="M68" s="21"/>
      <c r="N68" s="26"/>
      <c r="O68" s="20"/>
    </row>
    <row r="70" spans="1:15" x14ac:dyDescent="0.25">
      <c r="L70" t="s">
        <v>72</v>
      </c>
      <c r="M70" s="11">
        <v>19.5</v>
      </c>
      <c r="N70" t="s">
        <v>73</v>
      </c>
      <c r="O70" s="23">
        <f>42.5*M70</f>
        <v>828.75</v>
      </c>
    </row>
    <row r="72" spans="1:15" x14ac:dyDescent="0.25">
      <c r="N72" s="14" t="s">
        <v>74</v>
      </c>
      <c r="O72" s="7">
        <f>O5+O21+O27+O34+O39+O44+O70</f>
        <v>1342.1758645833334</v>
      </c>
    </row>
  </sheetData>
  <mergeCells count="3">
    <mergeCell ref="B1:D1"/>
    <mergeCell ref="F1:L1"/>
    <mergeCell ref="N1:O1"/>
  </mergeCells>
  <hyperlinks>
    <hyperlink ref="P54" r:id="rId1" xr:uid="{83AAA28D-DF19-471B-B36F-95B200C341BC}"/>
    <hyperlink ref="P55" r:id="rId2" xr:uid="{C4381547-B200-4162-BF98-E1E8B9E7608A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Product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Swenson</dc:creator>
  <cp:keywords/>
  <dc:description/>
  <cp:lastModifiedBy>Swenson, Matthew (swenson@uidaho.edu)</cp:lastModifiedBy>
  <cp:revision/>
  <dcterms:created xsi:type="dcterms:W3CDTF">2020-02-07T04:37:01Z</dcterms:created>
  <dcterms:modified xsi:type="dcterms:W3CDTF">2022-08-11T22:00:36Z</dcterms:modified>
  <cp:category/>
  <cp:contentStatus/>
</cp:coreProperties>
</file>