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personal_stuff\Motorcycles\"/>
    </mc:Choice>
  </mc:AlternateContent>
  <xr:revisionPtr revIDLastSave="0" documentId="13_ncr:1_{169304F8-989E-49DA-A825-EAA2C6C775F4}" xr6:coauthVersionLast="47" xr6:coauthVersionMax="47" xr10:uidLastSave="{00000000-0000-0000-0000-000000000000}"/>
  <bookViews>
    <workbookView xWindow="29700" yWindow="375" windowWidth="26625" windowHeight="14580" xr2:uid="{00000000-000D-0000-FFFF-FFFF00000000}"/>
  </bookViews>
  <sheets>
    <sheet name="Inputs" sheetId="1" r:id="rId1"/>
    <sheet name="Torque Curves" sheetId="9" r:id="rId2"/>
    <sheet name="Bike 1 and Bike 2" sheetId="4" r:id="rId3"/>
    <sheet name="Bike 3 and Bike 4" sheetId="6" r:id="rId4"/>
    <sheet name="Bike 2 and Bike 4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0" i="1" l="1"/>
  <c r="N49" i="1"/>
  <c r="N48" i="1"/>
  <c r="N47" i="1"/>
  <c r="N46" i="1"/>
  <c r="N45" i="1"/>
  <c r="N44" i="1"/>
  <c r="N43" i="1"/>
  <c r="E50" i="1"/>
  <c r="E49" i="1"/>
  <c r="E48" i="1"/>
  <c r="E47" i="1"/>
  <c r="E46" i="1"/>
  <c r="E45" i="1"/>
  <c r="E44" i="1"/>
  <c r="E43" i="1"/>
  <c r="M50" i="1"/>
  <c r="M49" i="1"/>
  <c r="M48" i="1"/>
  <c r="M47" i="1"/>
  <c r="M46" i="1"/>
  <c r="M45" i="1"/>
  <c r="M44" i="1"/>
  <c r="M43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K54" i="1"/>
  <c r="K53" i="1"/>
  <c r="K52" i="1"/>
  <c r="K51" i="1"/>
  <c r="K50" i="1"/>
  <c r="K49" i="1"/>
  <c r="K48" i="1"/>
  <c r="K47" i="1"/>
  <c r="K46" i="1"/>
  <c r="K45" i="1"/>
  <c r="K44" i="1"/>
  <c r="K43" i="1"/>
  <c r="J54" i="1"/>
  <c r="J53" i="1"/>
  <c r="J52" i="1"/>
  <c r="J51" i="1"/>
  <c r="J50" i="1"/>
  <c r="J49" i="1"/>
  <c r="J48" i="1"/>
  <c r="J47" i="1"/>
  <c r="J46" i="1"/>
  <c r="J45" i="1"/>
  <c r="J44" i="1"/>
  <c r="J43" i="1"/>
  <c r="D43" i="1"/>
  <c r="D54" i="1"/>
  <c r="D53" i="1"/>
  <c r="D52" i="1"/>
  <c r="D51" i="1"/>
  <c r="D50" i="1"/>
  <c r="D49" i="1"/>
  <c r="D48" i="1"/>
  <c r="D47" i="1"/>
  <c r="D46" i="1"/>
  <c r="D45" i="1"/>
  <c r="D44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105" i="1"/>
  <c r="B89" i="1"/>
  <c r="B73" i="1"/>
  <c r="B57" i="1"/>
  <c r="C23" i="1"/>
  <c r="D23" i="1"/>
  <c r="E23" i="1"/>
  <c r="B23" i="1"/>
  <c r="C17" i="1"/>
  <c r="C28" i="1" s="1"/>
  <c r="C36" i="1" s="1"/>
  <c r="D17" i="1"/>
  <c r="D28" i="1" s="1"/>
  <c r="D36" i="1" s="1"/>
  <c r="E17" i="1"/>
  <c r="E28" i="1" s="1"/>
  <c r="E36" i="1" s="1"/>
  <c r="B17" i="1"/>
  <c r="B28" i="1" s="1"/>
  <c r="D91" i="1" l="1"/>
  <c r="D103" i="1"/>
  <c r="D102" i="1"/>
  <c r="D101" i="1"/>
  <c r="D100" i="1"/>
  <c r="D99" i="1"/>
  <c r="D98" i="1"/>
  <c r="D97" i="1"/>
  <c r="D96" i="1"/>
  <c r="D95" i="1"/>
  <c r="D94" i="1"/>
  <c r="D93" i="1"/>
  <c r="D92" i="1"/>
  <c r="E91" i="1"/>
  <c r="E102" i="1"/>
  <c r="E101" i="1"/>
  <c r="E100" i="1"/>
  <c r="E99" i="1"/>
  <c r="E98" i="1"/>
  <c r="E97" i="1"/>
  <c r="E96" i="1"/>
  <c r="E95" i="1"/>
  <c r="E94" i="1"/>
  <c r="E93" i="1"/>
  <c r="E92" i="1"/>
  <c r="D107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E107" i="1"/>
  <c r="E114" i="1"/>
  <c r="E113" i="1"/>
  <c r="E112" i="1"/>
  <c r="E111" i="1"/>
  <c r="E110" i="1"/>
  <c r="E109" i="1"/>
  <c r="E108" i="1"/>
  <c r="D75" i="1"/>
  <c r="D87" i="1"/>
  <c r="D86" i="1"/>
  <c r="D85" i="1"/>
  <c r="D84" i="1"/>
  <c r="D83" i="1"/>
  <c r="D82" i="1"/>
  <c r="D81" i="1"/>
  <c r="D80" i="1"/>
  <c r="D79" i="1"/>
  <c r="D78" i="1"/>
  <c r="D77" i="1"/>
  <c r="D76" i="1"/>
  <c r="E75" i="1"/>
  <c r="E87" i="1"/>
  <c r="E86" i="1"/>
  <c r="E85" i="1"/>
  <c r="E84" i="1"/>
  <c r="E83" i="1"/>
  <c r="E82" i="1"/>
  <c r="E81" i="1"/>
  <c r="E80" i="1"/>
  <c r="E79" i="1"/>
  <c r="E78" i="1"/>
  <c r="E77" i="1"/>
  <c r="E76" i="1"/>
  <c r="E60" i="1"/>
  <c r="E61" i="1"/>
  <c r="E62" i="1"/>
  <c r="E63" i="1"/>
  <c r="E64" i="1"/>
  <c r="E65" i="1"/>
  <c r="E66" i="1"/>
  <c r="E67" i="1"/>
  <c r="E68" i="1"/>
  <c r="E69" i="1"/>
  <c r="E70" i="1"/>
  <c r="E71" i="1"/>
  <c r="E59" i="1"/>
  <c r="D60" i="1"/>
  <c r="D61" i="1"/>
  <c r="D62" i="1"/>
  <c r="D63" i="1"/>
  <c r="D64" i="1"/>
  <c r="D65" i="1"/>
  <c r="D66" i="1"/>
  <c r="D67" i="1"/>
  <c r="D68" i="1"/>
  <c r="D69" i="1"/>
  <c r="D70" i="1"/>
  <c r="D71" i="1"/>
  <c r="D59" i="1"/>
  <c r="B36" i="1"/>
  <c r="B24" i="1"/>
  <c r="E24" i="1"/>
  <c r="D24" i="1"/>
  <c r="C24" i="1"/>
  <c r="B27" i="1"/>
  <c r="C27" i="1"/>
  <c r="D27" i="1"/>
  <c r="E27" i="1"/>
  <c r="B32" i="1"/>
  <c r="B31" i="1"/>
  <c r="B30" i="1"/>
  <c r="B29" i="1"/>
  <c r="C32" i="1"/>
  <c r="C31" i="1"/>
  <c r="C30" i="1"/>
  <c r="C29" i="1"/>
  <c r="D32" i="1"/>
  <c r="D31" i="1"/>
  <c r="D30" i="1"/>
  <c r="D29" i="1"/>
  <c r="E32" i="1"/>
  <c r="E31" i="1"/>
  <c r="E30" i="1"/>
  <c r="E29" i="1"/>
  <c r="G92" i="1" l="1"/>
  <c r="G93" i="1"/>
  <c r="G94" i="1"/>
  <c r="G95" i="1"/>
  <c r="G96" i="1"/>
  <c r="G97" i="1"/>
  <c r="G98" i="1"/>
  <c r="G99" i="1"/>
  <c r="G100" i="1"/>
  <c r="G101" i="1"/>
  <c r="G102" i="1"/>
  <c r="G91" i="1"/>
  <c r="F92" i="1"/>
  <c r="F93" i="1"/>
  <c r="F94" i="1"/>
  <c r="F95" i="1"/>
  <c r="F96" i="1"/>
  <c r="F97" i="1"/>
  <c r="F98" i="1"/>
  <c r="F99" i="1"/>
  <c r="F100" i="1"/>
  <c r="F101" i="1"/>
  <c r="F102" i="1"/>
  <c r="F103" i="1"/>
  <c r="F91" i="1"/>
  <c r="I92" i="1"/>
  <c r="I93" i="1"/>
  <c r="I94" i="1"/>
  <c r="I95" i="1"/>
  <c r="I96" i="1"/>
  <c r="I97" i="1"/>
  <c r="I98" i="1"/>
  <c r="I99" i="1"/>
  <c r="I100" i="1"/>
  <c r="I101" i="1"/>
  <c r="I102" i="1"/>
  <c r="I91" i="1"/>
  <c r="H92" i="1"/>
  <c r="H93" i="1"/>
  <c r="H94" i="1"/>
  <c r="H95" i="1"/>
  <c r="H96" i="1"/>
  <c r="H97" i="1"/>
  <c r="H98" i="1"/>
  <c r="H99" i="1"/>
  <c r="H100" i="1"/>
  <c r="H101" i="1"/>
  <c r="H102" i="1"/>
  <c r="H103" i="1"/>
  <c r="H91" i="1"/>
  <c r="K92" i="1"/>
  <c r="K93" i="1"/>
  <c r="K94" i="1"/>
  <c r="K95" i="1"/>
  <c r="K96" i="1"/>
  <c r="K97" i="1"/>
  <c r="K98" i="1"/>
  <c r="K99" i="1"/>
  <c r="K100" i="1"/>
  <c r="K101" i="1"/>
  <c r="K102" i="1"/>
  <c r="K91" i="1"/>
  <c r="J92" i="1"/>
  <c r="J93" i="1"/>
  <c r="J94" i="1"/>
  <c r="J95" i="1"/>
  <c r="J96" i="1"/>
  <c r="J97" i="1"/>
  <c r="J98" i="1"/>
  <c r="J99" i="1"/>
  <c r="J100" i="1"/>
  <c r="J101" i="1"/>
  <c r="J102" i="1"/>
  <c r="J103" i="1"/>
  <c r="J91" i="1"/>
  <c r="M92" i="1"/>
  <c r="M93" i="1"/>
  <c r="M94" i="1"/>
  <c r="M95" i="1"/>
  <c r="M96" i="1"/>
  <c r="M97" i="1"/>
  <c r="M98" i="1"/>
  <c r="M99" i="1"/>
  <c r="M100" i="1"/>
  <c r="M101" i="1"/>
  <c r="M102" i="1"/>
  <c r="M91" i="1"/>
  <c r="L92" i="1"/>
  <c r="L93" i="1"/>
  <c r="L94" i="1"/>
  <c r="L95" i="1"/>
  <c r="L96" i="1"/>
  <c r="L97" i="1"/>
  <c r="L98" i="1"/>
  <c r="L99" i="1"/>
  <c r="L100" i="1"/>
  <c r="L101" i="1"/>
  <c r="L102" i="1"/>
  <c r="L103" i="1"/>
  <c r="L91" i="1"/>
  <c r="D35" i="1"/>
  <c r="C92" i="1"/>
  <c r="C93" i="1"/>
  <c r="C94" i="1"/>
  <c r="C95" i="1"/>
  <c r="C96" i="1"/>
  <c r="C97" i="1"/>
  <c r="C98" i="1"/>
  <c r="C99" i="1"/>
  <c r="C100" i="1"/>
  <c r="C101" i="1"/>
  <c r="C102" i="1"/>
  <c r="C91" i="1"/>
  <c r="B92" i="1"/>
  <c r="B93" i="1"/>
  <c r="B94" i="1"/>
  <c r="B95" i="1"/>
  <c r="B96" i="1"/>
  <c r="B97" i="1"/>
  <c r="B98" i="1"/>
  <c r="B99" i="1"/>
  <c r="B100" i="1"/>
  <c r="B101" i="1"/>
  <c r="B102" i="1"/>
  <c r="B103" i="1"/>
  <c r="B91" i="1"/>
  <c r="G108" i="1"/>
  <c r="G109" i="1"/>
  <c r="G110" i="1"/>
  <c r="G111" i="1"/>
  <c r="G112" i="1"/>
  <c r="G113" i="1"/>
  <c r="G114" i="1"/>
  <c r="G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07" i="1"/>
  <c r="I108" i="1"/>
  <c r="I109" i="1"/>
  <c r="I110" i="1"/>
  <c r="I111" i="1"/>
  <c r="I112" i="1"/>
  <c r="I113" i="1"/>
  <c r="I114" i="1"/>
  <c r="I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07" i="1"/>
  <c r="K108" i="1"/>
  <c r="K109" i="1"/>
  <c r="K110" i="1"/>
  <c r="K111" i="1"/>
  <c r="K112" i="1"/>
  <c r="K113" i="1"/>
  <c r="K114" i="1"/>
  <c r="K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07" i="1"/>
  <c r="M108" i="1"/>
  <c r="M109" i="1"/>
  <c r="M110" i="1"/>
  <c r="M111" i="1"/>
  <c r="M112" i="1"/>
  <c r="M113" i="1"/>
  <c r="M114" i="1"/>
  <c r="M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07" i="1"/>
  <c r="E35" i="1"/>
  <c r="C108" i="1"/>
  <c r="C109" i="1"/>
  <c r="C110" i="1"/>
  <c r="C111" i="1"/>
  <c r="C112" i="1"/>
  <c r="C113" i="1"/>
  <c r="C114" i="1"/>
  <c r="C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07" i="1"/>
  <c r="G76" i="1"/>
  <c r="G77" i="1"/>
  <c r="G78" i="1"/>
  <c r="G79" i="1"/>
  <c r="G80" i="1"/>
  <c r="G81" i="1"/>
  <c r="G82" i="1"/>
  <c r="G83" i="1"/>
  <c r="G84" i="1"/>
  <c r="G85" i="1"/>
  <c r="G86" i="1"/>
  <c r="G87" i="1"/>
  <c r="G75" i="1"/>
  <c r="F76" i="1"/>
  <c r="F77" i="1"/>
  <c r="F78" i="1"/>
  <c r="F79" i="1"/>
  <c r="F80" i="1"/>
  <c r="F81" i="1"/>
  <c r="F82" i="1"/>
  <c r="F83" i="1"/>
  <c r="F84" i="1"/>
  <c r="F85" i="1"/>
  <c r="F86" i="1"/>
  <c r="F87" i="1"/>
  <c r="F75" i="1"/>
  <c r="I76" i="1"/>
  <c r="I77" i="1"/>
  <c r="I78" i="1"/>
  <c r="I79" i="1"/>
  <c r="I80" i="1"/>
  <c r="I81" i="1"/>
  <c r="I82" i="1"/>
  <c r="I83" i="1"/>
  <c r="I84" i="1"/>
  <c r="I85" i="1"/>
  <c r="I86" i="1"/>
  <c r="I87" i="1"/>
  <c r="I75" i="1"/>
  <c r="H76" i="1"/>
  <c r="H77" i="1"/>
  <c r="H78" i="1"/>
  <c r="H79" i="1"/>
  <c r="H80" i="1"/>
  <c r="H81" i="1"/>
  <c r="H82" i="1"/>
  <c r="H83" i="1"/>
  <c r="H84" i="1"/>
  <c r="H85" i="1"/>
  <c r="H86" i="1"/>
  <c r="H87" i="1"/>
  <c r="H75" i="1"/>
  <c r="K76" i="1"/>
  <c r="K77" i="1"/>
  <c r="K78" i="1"/>
  <c r="K79" i="1"/>
  <c r="K80" i="1"/>
  <c r="K81" i="1"/>
  <c r="K82" i="1"/>
  <c r="K83" i="1"/>
  <c r="K84" i="1"/>
  <c r="K85" i="1"/>
  <c r="K86" i="1"/>
  <c r="K87" i="1"/>
  <c r="K75" i="1"/>
  <c r="J76" i="1"/>
  <c r="J77" i="1"/>
  <c r="J78" i="1"/>
  <c r="J79" i="1"/>
  <c r="J80" i="1"/>
  <c r="J81" i="1"/>
  <c r="J82" i="1"/>
  <c r="J83" i="1"/>
  <c r="J84" i="1"/>
  <c r="J85" i="1"/>
  <c r="J86" i="1"/>
  <c r="J87" i="1"/>
  <c r="J75" i="1"/>
  <c r="M76" i="1"/>
  <c r="M77" i="1"/>
  <c r="M78" i="1"/>
  <c r="M79" i="1"/>
  <c r="M80" i="1"/>
  <c r="M81" i="1"/>
  <c r="M82" i="1"/>
  <c r="M83" i="1"/>
  <c r="M84" i="1"/>
  <c r="M85" i="1"/>
  <c r="M86" i="1"/>
  <c r="M87" i="1"/>
  <c r="M75" i="1"/>
  <c r="L76" i="1"/>
  <c r="L77" i="1"/>
  <c r="L78" i="1"/>
  <c r="L79" i="1"/>
  <c r="L80" i="1"/>
  <c r="L81" i="1"/>
  <c r="L82" i="1"/>
  <c r="L83" i="1"/>
  <c r="L84" i="1"/>
  <c r="L85" i="1"/>
  <c r="L86" i="1"/>
  <c r="L87" i="1"/>
  <c r="L75" i="1"/>
  <c r="C35" i="1"/>
  <c r="B76" i="1"/>
  <c r="B77" i="1"/>
  <c r="B78" i="1"/>
  <c r="B79" i="1"/>
  <c r="B80" i="1"/>
  <c r="B81" i="1"/>
  <c r="B82" i="1"/>
  <c r="B83" i="1"/>
  <c r="B84" i="1"/>
  <c r="B85" i="1"/>
  <c r="B86" i="1"/>
  <c r="B87" i="1"/>
  <c r="B75" i="1"/>
  <c r="C76" i="1"/>
  <c r="C77" i="1"/>
  <c r="C78" i="1"/>
  <c r="C79" i="1"/>
  <c r="C80" i="1"/>
  <c r="C81" i="1"/>
  <c r="C82" i="1"/>
  <c r="C83" i="1"/>
  <c r="C84" i="1"/>
  <c r="C85" i="1"/>
  <c r="C86" i="1"/>
  <c r="C87" i="1"/>
  <c r="C75" i="1"/>
  <c r="E37" i="1"/>
  <c r="E38" i="1"/>
  <c r="E39" i="1"/>
  <c r="E40" i="1"/>
  <c r="D37" i="1"/>
  <c r="D38" i="1"/>
  <c r="D39" i="1"/>
  <c r="D40" i="1"/>
  <c r="C37" i="1"/>
  <c r="C38" i="1"/>
  <c r="C39" i="1"/>
  <c r="C40" i="1"/>
  <c r="F60" i="1"/>
  <c r="F61" i="1"/>
  <c r="F62" i="1"/>
  <c r="F63" i="1"/>
  <c r="F64" i="1"/>
  <c r="F65" i="1"/>
  <c r="F66" i="1"/>
  <c r="F67" i="1"/>
  <c r="F68" i="1"/>
  <c r="F69" i="1"/>
  <c r="F70" i="1"/>
  <c r="F71" i="1"/>
  <c r="F59" i="1"/>
  <c r="G60" i="1"/>
  <c r="G61" i="1"/>
  <c r="G62" i="1"/>
  <c r="G63" i="1"/>
  <c r="G64" i="1"/>
  <c r="G65" i="1"/>
  <c r="G66" i="1"/>
  <c r="G67" i="1"/>
  <c r="G68" i="1"/>
  <c r="G69" i="1"/>
  <c r="G70" i="1"/>
  <c r="G71" i="1"/>
  <c r="G59" i="1"/>
  <c r="B37" i="1"/>
  <c r="I60" i="1"/>
  <c r="I61" i="1"/>
  <c r="I62" i="1"/>
  <c r="I63" i="1"/>
  <c r="I64" i="1"/>
  <c r="I65" i="1"/>
  <c r="I66" i="1"/>
  <c r="I67" i="1"/>
  <c r="I68" i="1"/>
  <c r="I69" i="1"/>
  <c r="I70" i="1"/>
  <c r="I71" i="1"/>
  <c r="I59" i="1"/>
  <c r="H60" i="1"/>
  <c r="H61" i="1"/>
  <c r="H62" i="1"/>
  <c r="H63" i="1"/>
  <c r="H64" i="1"/>
  <c r="H65" i="1"/>
  <c r="H66" i="1"/>
  <c r="H67" i="1"/>
  <c r="H68" i="1"/>
  <c r="H69" i="1"/>
  <c r="H70" i="1"/>
  <c r="H71" i="1"/>
  <c r="H59" i="1"/>
  <c r="B38" i="1"/>
  <c r="K60" i="1"/>
  <c r="K61" i="1"/>
  <c r="K62" i="1"/>
  <c r="K63" i="1"/>
  <c r="K64" i="1"/>
  <c r="K65" i="1"/>
  <c r="K66" i="1"/>
  <c r="K67" i="1"/>
  <c r="K68" i="1"/>
  <c r="K69" i="1"/>
  <c r="K70" i="1"/>
  <c r="K71" i="1"/>
  <c r="K59" i="1"/>
  <c r="J60" i="1"/>
  <c r="J61" i="1"/>
  <c r="J62" i="1"/>
  <c r="J63" i="1"/>
  <c r="J64" i="1"/>
  <c r="J65" i="1"/>
  <c r="J66" i="1"/>
  <c r="J67" i="1"/>
  <c r="J68" i="1"/>
  <c r="J69" i="1"/>
  <c r="J70" i="1"/>
  <c r="J71" i="1"/>
  <c r="J59" i="1"/>
  <c r="B39" i="1"/>
  <c r="M60" i="1"/>
  <c r="M61" i="1"/>
  <c r="M62" i="1"/>
  <c r="M63" i="1"/>
  <c r="M64" i="1"/>
  <c r="M65" i="1"/>
  <c r="M66" i="1"/>
  <c r="M67" i="1"/>
  <c r="M68" i="1"/>
  <c r="M69" i="1"/>
  <c r="M70" i="1"/>
  <c r="M71" i="1"/>
  <c r="M59" i="1"/>
  <c r="L60" i="1"/>
  <c r="L61" i="1"/>
  <c r="L62" i="1"/>
  <c r="L63" i="1"/>
  <c r="L64" i="1"/>
  <c r="L65" i="1"/>
  <c r="L66" i="1"/>
  <c r="L67" i="1"/>
  <c r="L68" i="1"/>
  <c r="L69" i="1"/>
  <c r="L70" i="1"/>
  <c r="L71" i="1"/>
  <c r="L59" i="1"/>
  <c r="B40" i="1"/>
  <c r="C60" i="1"/>
  <c r="C61" i="1"/>
  <c r="C62" i="1"/>
  <c r="C63" i="1"/>
  <c r="C64" i="1"/>
  <c r="C65" i="1"/>
  <c r="C66" i="1"/>
  <c r="C67" i="1"/>
  <c r="C68" i="1"/>
  <c r="C69" i="1"/>
  <c r="C70" i="1"/>
  <c r="C71" i="1"/>
  <c r="C59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B35" i="1"/>
</calcChain>
</file>

<file path=xl/sharedStrings.xml><?xml version="1.0" encoding="utf-8"?>
<sst xmlns="http://schemas.openxmlformats.org/spreadsheetml/2006/main" count="109" uniqueCount="65">
  <si>
    <t>Gearing calculator for motorcycles</t>
  </si>
  <si>
    <t>Sprockets</t>
  </si>
  <si>
    <t>Countershaft</t>
  </si>
  <si>
    <t>Max RPM</t>
  </si>
  <si>
    <t>Transmission</t>
  </si>
  <si>
    <t>Primary Reduction</t>
  </si>
  <si>
    <t>1st</t>
  </si>
  <si>
    <t>2nd</t>
  </si>
  <si>
    <t>3rd</t>
  </si>
  <si>
    <t>4th</t>
  </si>
  <si>
    <t>5th</t>
  </si>
  <si>
    <t>6th</t>
  </si>
  <si>
    <t>Overall Ratio in 6th</t>
  </si>
  <si>
    <t>Final Reduction</t>
  </si>
  <si>
    <t>Rear Tire</t>
  </si>
  <si>
    <t>Tire Width</t>
  </si>
  <si>
    <t>Aspect Ratio</t>
  </si>
  <si>
    <t>Wheel Radius</t>
  </si>
  <si>
    <t>Top Speed (MPH)</t>
  </si>
  <si>
    <t>Speed Calculations</t>
  </si>
  <si>
    <t>Overall Ratio in 1st</t>
  </si>
  <si>
    <t>Overall Ratio in 2nd</t>
  </si>
  <si>
    <t>Overall Ratio in 3rd</t>
  </si>
  <si>
    <t>Overall Ratio in 4th</t>
  </si>
  <si>
    <t>Overall Ratio on 5th</t>
  </si>
  <si>
    <t>Rear Sprocket</t>
  </si>
  <si>
    <t>Tire Radius (mm)</t>
  </si>
  <si>
    <t>Ratio Calculations</t>
  </si>
  <si>
    <t>Top Speed in 1st</t>
  </si>
  <si>
    <t>Top Speed in 2nd</t>
  </si>
  <si>
    <t>Top Speed in 3rd</t>
  </si>
  <si>
    <t>Top Speed in 4th</t>
  </si>
  <si>
    <t>Top Speed on 5th</t>
  </si>
  <si>
    <t>Top Speed in 6th</t>
  </si>
  <si>
    <t>Engine Torque (ft*lb)</t>
  </si>
  <si>
    <t>Engine Speed (RPM)</t>
  </si>
  <si>
    <t>Wheel Torque (ft*lb)</t>
  </si>
  <si>
    <t>Engine Speed</t>
  </si>
  <si>
    <t>MPH 1st</t>
  </si>
  <si>
    <t>ft*lb 1st</t>
  </si>
  <si>
    <t>MPH 2nd</t>
  </si>
  <si>
    <t>ft*lb 2nd</t>
  </si>
  <si>
    <t>MPH 3rd</t>
  </si>
  <si>
    <t>ft*lb 3rd</t>
  </si>
  <si>
    <t>MPH 4th</t>
  </si>
  <si>
    <t>ft*lb 4th</t>
  </si>
  <si>
    <t>MPH 5th</t>
  </si>
  <si>
    <t>ft*lb 5th</t>
  </si>
  <si>
    <t>MPH 6th</t>
  </si>
  <si>
    <t>ft*lb 6th</t>
  </si>
  <si>
    <t>05 R6 Stock</t>
  </si>
  <si>
    <t>05 R6 Track</t>
  </si>
  <si>
    <t>01 F4i Stock</t>
  </si>
  <si>
    <t>01 F4i Track</t>
  </si>
  <si>
    <t>07 CBR600RR</t>
  </si>
  <si>
    <t>Bike 1</t>
  </si>
  <si>
    <t>Bike 2</t>
  </si>
  <si>
    <t>Bike 3</t>
  </si>
  <si>
    <t>Bike 4</t>
  </si>
  <si>
    <t>08 R6</t>
  </si>
  <si>
    <t>07 R6</t>
  </si>
  <si>
    <t>2002 RC51</t>
  </si>
  <si>
    <t>2002 RC51 T</t>
  </si>
  <si>
    <t>R6 Track (50T)</t>
  </si>
  <si>
    <t>R6 Track (46T)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</si>
</sst>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indent="2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0" fillId="2" borderId="0" xfId="0" applyFill="1"/>
    <xf numFmtId="164" fontId="0" fillId="2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0" fillId="3" borderId="0" xfId="0" applyFill="1"/>
    <xf numFmtId="1" fontId="0" fillId="3" borderId="0" xfId="0" applyNumberFormat="1" applyFill="1"/>
    <xf numFmtId="165" fontId="0" fillId="2" borderId="0" xfId="0" applyNumberFormat="1" applyFill="1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Bike 1</c:v>
          </c:tx>
          <c:marker>
            <c:symbol val="none"/>
          </c:marker>
          <c:xVal>
            <c:numRef>
              <c:f>Inputs!$A$43:$A$55</c:f>
              <c:numCache>
                <c:formatCode>General</c:formatCode>
                <c:ptCount val="13"/>
                <c:pt idx="0">
                  <c:v>3500</c:v>
                </c:pt>
                <c:pt idx="1">
                  <c:v>4500</c:v>
                </c:pt>
                <c:pt idx="2">
                  <c:v>5500</c:v>
                </c:pt>
                <c:pt idx="3">
                  <c:v>6500</c:v>
                </c:pt>
                <c:pt idx="4">
                  <c:v>7500</c:v>
                </c:pt>
                <c:pt idx="5">
                  <c:v>8500</c:v>
                </c:pt>
                <c:pt idx="6">
                  <c:v>9500</c:v>
                </c:pt>
                <c:pt idx="7">
                  <c:v>10500</c:v>
                </c:pt>
                <c:pt idx="8">
                  <c:v>11500</c:v>
                </c:pt>
                <c:pt idx="9">
                  <c:v>12500</c:v>
                </c:pt>
                <c:pt idx="10">
                  <c:v>13500</c:v>
                </c:pt>
                <c:pt idx="11">
                  <c:v>14500</c:v>
                </c:pt>
                <c:pt idx="12">
                  <c:v>15500</c:v>
                </c:pt>
              </c:numCache>
            </c:numRef>
          </c:xVal>
          <c:yVal>
            <c:numRef>
              <c:f>Inputs!$B$43:$B$55</c:f>
              <c:numCache>
                <c:formatCode>0.0</c:formatCode>
                <c:ptCount val="13"/>
                <c:pt idx="0">
                  <c:v>22.281167108753316</c:v>
                </c:pt>
                <c:pt idx="1">
                  <c:v>29.442970822281168</c:v>
                </c:pt>
                <c:pt idx="2">
                  <c:v>33.42175066312997</c:v>
                </c:pt>
                <c:pt idx="3">
                  <c:v>35.013262599469499</c:v>
                </c:pt>
                <c:pt idx="4">
                  <c:v>36.604774535809021</c:v>
                </c:pt>
                <c:pt idx="5">
                  <c:v>37.400530503978779</c:v>
                </c:pt>
                <c:pt idx="6">
                  <c:v>43.766578249336867</c:v>
                </c:pt>
                <c:pt idx="7">
                  <c:v>44.562334217506631</c:v>
                </c:pt>
                <c:pt idx="8">
                  <c:v>44.827586206896548</c:v>
                </c:pt>
                <c:pt idx="9">
                  <c:v>44.827586206896548</c:v>
                </c:pt>
                <c:pt idx="10">
                  <c:v>42.175066312997345</c:v>
                </c:pt>
                <c:pt idx="11">
                  <c:v>37.665782493368702</c:v>
                </c:pt>
                <c:pt idx="12">
                  <c:v>33.687002652519894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85-48AF-82CF-3811470F3F40}"/>
            </c:ext>
          </c:extLst>
        </c:ser>
        <c:ser>
          <c:idx val="1"/>
          <c:order val="1"/>
          <c:tx>
            <c:v>Bike 2</c:v>
          </c:tx>
          <c:marker>
            <c:symbol val="none"/>
          </c:marker>
          <c:xVal>
            <c:numRef>
              <c:f>Inputs!$A$43:$A$55</c:f>
              <c:numCache>
                <c:formatCode>General</c:formatCode>
                <c:ptCount val="13"/>
                <c:pt idx="0">
                  <c:v>3500</c:v>
                </c:pt>
                <c:pt idx="1">
                  <c:v>4500</c:v>
                </c:pt>
                <c:pt idx="2">
                  <c:v>5500</c:v>
                </c:pt>
                <c:pt idx="3">
                  <c:v>6500</c:v>
                </c:pt>
                <c:pt idx="4">
                  <c:v>7500</c:v>
                </c:pt>
                <c:pt idx="5">
                  <c:v>8500</c:v>
                </c:pt>
                <c:pt idx="6">
                  <c:v>9500</c:v>
                </c:pt>
                <c:pt idx="7">
                  <c:v>10500</c:v>
                </c:pt>
                <c:pt idx="8">
                  <c:v>11500</c:v>
                </c:pt>
                <c:pt idx="9">
                  <c:v>12500</c:v>
                </c:pt>
                <c:pt idx="10">
                  <c:v>13500</c:v>
                </c:pt>
                <c:pt idx="11">
                  <c:v>14500</c:v>
                </c:pt>
                <c:pt idx="12">
                  <c:v>15500</c:v>
                </c:pt>
              </c:numCache>
            </c:numRef>
          </c:xVal>
          <c:yVal>
            <c:numRef>
              <c:f>Inputs!$C$43:$C$55</c:f>
              <c:numCache>
                <c:formatCode>0.0</c:formatCode>
                <c:ptCount val="13"/>
                <c:pt idx="0">
                  <c:v>22.281167108753316</c:v>
                </c:pt>
                <c:pt idx="1">
                  <c:v>29.442970822281168</c:v>
                </c:pt>
                <c:pt idx="2">
                  <c:v>33.42175066312997</c:v>
                </c:pt>
                <c:pt idx="3">
                  <c:v>35.013262599469499</c:v>
                </c:pt>
                <c:pt idx="4">
                  <c:v>36.604774535809021</c:v>
                </c:pt>
                <c:pt idx="5">
                  <c:v>37.400530503978779</c:v>
                </c:pt>
                <c:pt idx="6">
                  <c:v>43.766578249336867</c:v>
                </c:pt>
                <c:pt idx="7">
                  <c:v>44.562334217506631</c:v>
                </c:pt>
                <c:pt idx="8">
                  <c:v>44.827586206896548</c:v>
                </c:pt>
                <c:pt idx="9">
                  <c:v>44.827586206896548</c:v>
                </c:pt>
                <c:pt idx="10">
                  <c:v>42.175066312997345</c:v>
                </c:pt>
                <c:pt idx="11">
                  <c:v>37.665782493368702</c:v>
                </c:pt>
                <c:pt idx="12">
                  <c:v>33.687002652519894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85-48AF-82CF-3811470F3F40}"/>
            </c:ext>
          </c:extLst>
        </c:ser>
        <c:ser>
          <c:idx val="2"/>
          <c:order val="2"/>
          <c:tx>
            <c:v>Bike 3</c:v>
          </c:tx>
          <c:marker>
            <c:symbol val="none"/>
          </c:marker>
          <c:xVal>
            <c:numRef>
              <c:f>Inputs!$A$43:$A$55</c:f>
              <c:numCache>
                <c:formatCode>General</c:formatCode>
                <c:ptCount val="13"/>
                <c:pt idx="0">
                  <c:v>3500</c:v>
                </c:pt>
                <c:pt idx="1">
                  <c:v>4500</c:v>
                </c:pt>
                <c:pt idx="2">
                  <c:v>5500</c:v>
                </c:pt>
                <c:pt idx="3">
                  <c:v>6500</c:v>
                </c:pt>
                <c:pt idx="4">
                  <c:v>7500</c:v>
                </c:pt>
                <c:pt idx="5">
                  <c:v>8500</c:v>
                </c:pt>
                <c:pt idx="6">
                  <c:v>9500</c:v>
                </c:pt>
                <c:pt idx="7">
                  <c:v>10500</c:v>
                </c:pt>
                <c:pt idx="8">
                  <c:v>11500</c:v>
                </c:pt>
                <c:pt idx="9">
                  <c:v>12500</c:v>
                </c:pt>
                <c:pt idx="10">
                  <c:v>13500</c:v>
                </c:pt>
                <c:pt idx="11">
                  <c:v>14500</c:v>
                </c:pt>
                <c:pt idx="12">
                  <c:v>15500</c:v>
                </c:pt>
              </c:numCache>
            </c:numRef>
          </c:xVal>
          <c:yVal>
            <c:numRef>
              <c:f>Inputs!$D$43:$D$55</c:f>
              <c:numCache>
                <c:formatCode>0.0</c:formatCode>
                <c:ptCount val="13"/>
                <c:pt idx="0">
                  <c:v>26.47058823529412</c:v>
                </c:pt>
                <c:pt idx="1">
                  <c:v>28.529411764705884</c:v>
                </c:pt>
                <c:pt idx="2">
                  <c:v>29.117647058823529</c:v>
                </c:pt>
                <c:pt idx="3">
                  <c:v>35</c:v>
                </c:pt>
                <c:pt idx="4">
                  <c:v>38.529411764705884</c:v>
                </c:pt>
                <c:pt idx="5">
                  <c:v>38.529411764705884</c:v>
                </c:pt>
                <c:pt idx="6">
                  <c:v>40.882352941176471</c:v>
                </c:pt>
                <c:pt idx="7">
                  <c:v>41.764705882352942</c:v>
                </c:pt>
                <c:pt idx="8">
                  <c:v>41.176470588235297</c:v>
                </c:pt>
                <c:pt idx="9">
                  <c:v>39.705882352941174</c:v>
                </c:pt>
                <c:pt idx="10">
                  <c:v>35.882352941176471</c:v>
                </c:pt>
                <c:pt idx="11">
                  <c:v>30.588235294117649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85-48AF-82CF-3811470F3F40}"/>
            </c:ext>
          </c:extLst>
        </c:ser>
        <c:ser>
          <c:idx val="3"/>
          <c:order val="3"/>
          <c:tx>
            <c:v>Bike 4</c:v>
          </c:tx>
          <c:marker>
            <c:symbol val="none"/>
          </c:marker>
          <c:xVal>
            <c:numRef>
              <c:f>Inputs!$A$43:$A$55</c:f>
              <c:numCache>
                <c:formatCode>General</c:formatCode>
                <c:ptCount val="13"/>
                <c:pt idx="0">
                  <c:v>3500</c:v>
                </c:pt>
                <c:pt idx="1">
                  <c:v>4500</c:v>
                </c:pt>
                <c:pt idx="2">
                  <c:v>5500</c:v>
                </c:pt>
                <c:pt idx="3">
                  <c:v>6500</c:v>
                </c:pt>
                <c:pt idx="4">
                  <c:v>7500</c:v>
                </c:pt>
                <c:pt idx="5">
                  <c:v>8500</c:v>
                </c:pt>
                <c:pt idx="6">
                  <c:v>9500</c:v>
                </c:pt>
                <c:pt idx="7">
                  <c:v>10500</c:v>
                </c:pt>
                <c:pt idx="8">
                  <c:v>11500</c:v>
                </c:pt>
                <c:pt idx="9">
                  <c:v>12500</c:v>
                </c:pt>
                <c:pt idx="10">
                  <c:v>13500</c:v>
                </c:pt>
                <c:pt idx="11">
                  <c:v>14500</c:v>
                </c:pt>
                <c:pt idx="12">
                  <c:v>15500</c:v>
                </c:pt>
              </c:numCache>
            </c:numRef>
          </c:xVal>
          <c:yVal>
            <c:numRef>
              <c:f>Inputs!$E$43:$E$55</c:f>
              <c:numCache>
                <c:formatCode>0.0</c:formatCode>
                <c:ptCount val="13"/>
                <c:pt idx="0">
                  <c:v>55.423476968796429</c:v>
                </c:pt>
                <c:pt idx="1">
                  <c:v>52.748885586924217</c:v>
                </c:pt>
                <c:pt idx="2">
                  <c:v>61.664190193164927</c:v>
                </c:pt>
                <c:pt idx="3">
                  <c:v>64.933135215453191</c:v>
                </c:pt>
                <c:pt idx="4">
                  <c:v>68.350668647845467</c:v>
                </c:pt>
                <c:pt idx="5">
                  <c:v>69.687964338781569</c:v>
                </c:pt>
                <c:pt idx="6">
                  <c:v>65.973254086181271</c:v>
                </c:pt>
                <c:pt idx="7">
                  <c:v>59.43536404160475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885-48AF-82CF-3811470F3F40}"/>
            </c:ext>
          </c:extLst>
        </c:ser>
        <c:ser>
          <c:idx val="4"/>
          <c:order val="4"/>
          <c:tx>
            <c:strRef>
              <c:f>Inputs!$P$42</c:f>
              <c:strCache>
                <c:ptCount val="1"/>
                <c:pt idx="0">
                  <c:v>08 R6</c:v>
                </c:pt>
              </c:strCache>
            </c:strRef>
          </c:tx>
          <c:marker>
            <c:symbol val="none"/>
          </c:marker>
          <c:xVal>
            <c:numRef>
              <c:f>Inputs!$P$43:$P$54</c:f>
              <c:numCache>
                <c:formatCode>General</c:formatCode>
                <c:ptCount val="12"/>
                <c:pt idx="0">
                  <c:v>4000</c:v>
                </c:pt>
                <c:pt idx="1">
                  <c:v>5000</c:v>
                </c:pt>
                <c:pt idx="2">
                  <c:v>6000</c:v>
                </c:pt>
                <c:pt idx="3">
                  <c:v>7000</c:v>
                </c:pt>
                <c:pt idx="4">
                  <c:v>8000</c:v>
                </c:pt>
                <c:pt idx="5">
                  <c:v>9000</c:v>
                </c:pt>
                <c:pt idx="6">
                  <c:v>10000</c:v>
                </c:pt>
                <c:pt idx="7">
                  <c:v>11000</c:v>
                </c:pt>
                <c:pt idx="8">
                  <c:v>12000</c:v>
                </c:pt>
                <c:pt idx="9">
                  <c:v>13000</c:v>
                </c:pt>
                <c:pt idx="10">
                  <c:v>14000</c:v>
                </c:pt>
                <c:pt idx="11">
                  <c:v>15000</c:v>
                </c:pt>
              </c:numCache>
            </c:numRef>
          </c:xVal>
          <c:yVal>
            <c:numRef>
              <c:f>Inputs!$Q$43:$Q$54</c:f>
              <c:numCache>
                <c:formatCode>General</c:formatCode>
                <c:ptCount val="12"/>
                <c:pt idx="0">
                  <c:v>25</c:v>
                </c:pt>
                <c:pt idx="1">
                  <c:v>28</c:v>
                </c:pt>
                <c:pt idx="2">
                  <c:v>30</c:v>
                </c:pt>
                <c:pt idx="3">
                  <c:v>30</c:v>
                </c:pt>
                <c:pt idx="4">
                  <c:v>32</c:v>
                </c:pt>
                <c:pt idx="5">
                  <c:v>35</c:v>
                </c:pt>
                <c:pt idx="6">
                  <c:v>46</c:v>
                </c:pt>
                <c:pt idx="7">
                  <c:v>44</c:v>
                </c:pt>
                <c:pt idx="8">
                  <c:v>42</c:v>
                </c:pt>
                <c:pt idx="9">
                  <c:v>42</c:v>
                </c:pt>
                <c:pt idx="10">
                  <c:v>40</c:v>
                </c:pt>
                <c:pt idx="11">
                  <c:v>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885-48AF-82CF-3811470F3F40}"/>
            </c:ext>
          </c:extLst>
        </c:ser>
        <c:ser>
          <c:idx val="5"/>
          <c:order val="5"/>
          <c:tx>
            <c:strRef>
              <c:f>Inputs!$S$42</c:f>
              <c:strCache>
                <c:ptCount val="1"/>
                <c:pt idx="0">
                  <c:v>07 R6</c:v>
                </c:pt>
              </c:strCache>
            </c:strRef>
          </c:tx>
          <c:marker>
            <c:symbol val="none"/>
          </c:marker>
          <c:xVal>
            <c:numRef>
              <c:f>Inputs!$S$43:$S$52</c:f>
              <c:numCache>
                <c:formatCode>General</c:formatCode>
                <c:ptCount val="10"/>
                <c:pt idx="0">
                  <c:v>6000</c:v>
                </c:pt>
                <c:pt idx="1">
                  <c:v>7000</c:v>
                </c:pt>
                <c:pt idx="2">
                  <c:v>8000</c:v>
                </c:pt>
                <c:pt idx="3">
                  <c:v>9000</c:v>
                </c:pt>
                <c:pt idx="4">
                  <c:v>10000</c:v>
                </c:pt>
                <c:pt idx="5">
                  <c:v>11000</c:v>
                </c:pt>
                <c:pt idx="6">
                  <c:v>12000</c:v>
                </c:pt>
                <c:pt idx="7">
                  <c:v>13000</c:v>
                </c:pt>
                <c:pt idx="8">
                  <c:v>14000</c:v>
                </c:pt>
                <c:pt idx="9">
                  <c:v>15000</c:v>
                </c:pt>
              </c:numCache>
            </c:numRef>
          </c:xVal>
          <c:yVal>
            <c:numRef>
              <c:f>Inputs!$T$43:$T$52</c:f>
              <c:numCache>
                <c:formatCode>General</c:formatCode>
                <c:ptCount val="10"/>
                <c:pt idx="0">
                  <c:v>29</c:v>
                </c:pt>
                <c:pt idx="1">
                  <c:v>29</c:v>
                </c:pt>
                <c:pt idx="2">
                  <c:v>26</c:v>
                </c:pt>
                <c:pt idx="3">
                  <c:v>35</c:v>
                </c:pt>
                <c:pt idx="4">
                  <c:v>35</c:v>
                </c:pt>
                <c:pt idx="5">
                  <c:v>40</c:v>
                </c:pt>
                <c:pt idx="6">
                  <c:v>42</c:v>
                </c:pt>
                <c:pt idx="7">
                  <c:v>40</c:v>
                </c:pt>
                <c:pt idx="8">
                  <c:v>39</c:v>
                </c:pt>
                <c:pt idx="9">
                  <c:v>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885-48AF-82CF-3811470F3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96608"/>
        <c:axId val="57541760"/>
      </c:scatterChart>
      <c:valAx>
        <c:axId val="5739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7541760"/>
        <c:crosses val="autoZero"/>
        <c:crossBetween val="midCat"/>
      </c:valAx>
      <c:valAx>
        <c:axId val="575417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57396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6"/>
          <c:order val="6"/>
          <c:tx>
            <c:strRef>
              <c:f>Inputs!$B$57</c:f>
              <c:strCache>
                <c:ptCount val="1"/>
                <c:pt idx="0">
                  <c:v>R6 Track (46T)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xVal>
            <c:numRef>
              <c:f>Inputs!$B$59:$B$71</c:f>
              <c:numCache>
                <c:formatCode>0.0</c:formatCode>
                <c:ptCount val="13"/>
                <c:pt idx="0">
                  <c:v>15.134481593898498</c:v>
                </c:pt>
                <c:pt idx="1">
                  <c:v>19.458619192155215</c:v>
                </c:pt>
                <c:pt idx="2">
                  <c:v>23.782756790411923</c:v>
                </c:pt>
                <c:pt idx="3">
                  <c:v>28.106894388668639</c:v>
                </c:pt>
                <c:pt idx="4">
                  <c:v>32.431031986925348</c:v>
                </c:pt>
                <c:pt idx="5">
                  <c:v>36.75516958518206</c:v>
                </c:pt>
                <c:pt idx="6">
                  <c:v>41.079307183438779</c:v>
                </c:pt>
                <c:pt idx="7">
                  <c:v>45.403444781695491</c:v>
                </c:pt>
                <c:pt idx="8">
                  <c:v>49.727582379952203</c:v>
                </c:pt>
                <c:pt idx="9">
                  <c:v>54.051719978208908</c:v>
                </c:pt>
                <c:pt idx="10">
                  <c:v>58.375857576465641</c:v>
                </c:pt>
                <c:pt idx="11">
                  <c:v>62.699995174722339</c:v>
                </c:pt>
                <c:pt idx="12">
                  <c:v>67.024132772979058</c:v>
                </c:pt>
              </c:numCache>
            </c:numRef>
          </c:xVal>
          <c:yVal>
            <c:numRef>
              <c:f>Inputs!$C$59:$C$71</c:f>
              <c:numCache>
                <c:formatCode>0</c:formatCode>
                <c:ptCount val="13"/>
                <c:pt idx="0">
                  <c:v>380.17728594164458</c:v>
                </c:pt>
                <c:pt idx="1">
                  <c:v>502.37712785145897</c:v>
                </c:pt>
                <c:pt idx="2">
                  <c:v>570.26592891246685</c:v>
                </c:pt>
                <c:pt idx="3">
                  <c:v>597.42144933687018</c:v>
                </c:pt>
                <c:pt idx="4">
                  <c:v>624.57696976127329</c:v>
                </c:pt>
                <c:pt idx="5">
                  <c:v>638.1547299734749</c:v>
                </c:pt>
                <c:pt idx="6">
                  <c:v>746.77681167108756</c:v>
                </c:pt>
                <c:pt idx="7">
                  <c:v>760.35457188328917</c:v>
                </c:pt>
                <c:pt idx="8">
                  <c:v>764.880491954023</c:v>
                </c:pt>
                <c:pt idx="9">
                  <c:v>764.880491954023</c:v>
                </c:pt>
                <c:pt idx="10">
                  <c:v>719.62129124668434</c:v>
                </c:pt>
                <c:pt idx="11">
                  <c:v>642.68065004420873</c:v>
                </c:pt>
                <c:pt idx="12">
                  <c:v>574.79184898320079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8E-4756-94F2-A907F4DC8C89}"/>
            </c:ext>
          </c:extLst>
        </c:ser>
        <c:ser>
          <c:idx val="7"/>
          <c:order val="7"/>
          <c:tx>
            <c:v>2nd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Inputs!$D$59:$D$71</c:f>
              <c:numCache>
                <c:formatCode>0.0</c:formatCode>
                <c:ptCount val="13"/>
                <c:pt idx="0">
                  <c:v>22.122616649324666</c:v>
                </c:pt>
                <c:pt idx="1">
                  <c:v>28.443364263417433</c:v>
                </c:pt>
                <c:pt idx="2">
                  <c:v>34.764111877510189</c:v>
                </c:pt>
                <c:pt idx="3">
                  <c:v>41.084859491602955</c:v>
                </c:pt>
                <c:pt idx="4">
                  <c:v>47.405607105695708</c:v>
                </c:pt>
                <c:pt idx="5">
                  <c:v>53.726354719788475</c:v>
                </c:pt>
                <c:pt idx="6">
                  <c:v>60.047102333881234</c:v>
                </c:pt>
                <c:pt idx="7">
                  <c:v>66.367849947974008</c:v>
                </c:pt>
                <c:pt idx="8">
                  <c:v>72.688597562066761</c:v>
                </c:pt>
                <c:pt idx="9">
                  <c:v>79.009345176159528</c:v>
                </c:pt>
                <c:pt idx="10">
                  <c:v>85.330092790252266</c:v>
                </c:pt>
                <c:pt idx="11">
                  <c:v>91.650840404345033</c:v>
                </c:pt>
                <c:pt idx="12">
                  <c:v>97.971588018437814</c:v>
                </c:pt>
              </c:numCache>
            </c:numRef>
          </c:xVal>
          <c:yVal>
            <c:numRef>
              <c:f>Inputs!$E$59:$E$71</c:f>
              <c:numCache>
                <c:formatCode>0</c:formatCode>
                <c:ptCount val="13"/>
                <c:pt idx="0">
                  <c:v>260.08614748010609</c:v>
                </c:pt>
                <c:pt idx="1">
                  <c:v>343.68526631299738</c:v>
                </c:pt>
                <c:pt idx="2">
                  <c:v>390.12922122015914</c:v>
                </c:pt>
                <c:pt idx="3">
                  <c:v>408.70680318302391</c:v>
                </c:pt>
                <c:pt idx="4">
                  <c:v>427.28438514588862</c:v>
                </c:pt>
                <c:pt idx="5">
                  <c:v>436.57317612732095</c:v>
                </c:pt>
                <c:pt idx="6">
                  <c:v>510.8835039787798</c:v>
                </c:pt>
                <c:pt idx="7">
                  <c:v>520.17229496021218</c:v>
                </c:pt>
                <c:pt idx="8">
                  <c:v>523.26855862068965</c:v>
                </c:pt>
                <c:pt idx="9">
                  <c:v>523.26855862068965</c:v>
                </c:pt>
                <c:pt idx="10">
                  <c:v>492.30592201591509</c:v>
                </c:pt>
                <c:pt idx="11">
                  <c:v>439.66943978779847</c:v>
                </c:pt>
                <c:pt idx="12">
                  <c:v>393.2254848806366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8E-4756-94F2-A907F4DC8C89}"/>
            </c:ext>
          </c:extLst>
        </c:ser>
        <c:ser>
          <c:idx val="8"/>
          <c:order val="8"/>
          <c:tx>
            <c:v>3rd</c:v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xVal>
            <c:numRef>
              <c:f>Inputs!$F$59:$F$71</c:f>
              <c:numCache>
                <c:formatCode>0.0</c:formatCode>
                <c:ptCount val="13"/>
                <c:pt idx="0">
                  <c:v>27.681706051564991</c:v>
                </c:pt>
                <c:pt idx="1">
                  <c:v>35.590764923440702</c:v>
                </c:pt>
                <c:pt idx="2">
                  <c:v>43.499823795316409</c:v>
                </c:pt>
                <c:pt idx="3">
                  <c:v>51.408882667192117</c:v>
                </c:pt>
                <c:pt idx="4">
                  <c:v>59.317941539067817</c:v>
                </c:pt>
                <c:pt idx="5">
                  <c:v>67.227000410943532</c:v>
                </c:pt>
                <c:pt idx="6">
                  <c:v>75.136059282819261</c:v>
                </c:pt>
                <c:pt idx="7">
                  <c:v>83.045118154694947</c:v>
                </c:pt>
                <c:pt idx="8">
                  <c:v>90.954177026570676</c:v>
                </c:pt>
                <c:pt idx="9">
                  <c:v>98.863235898446376</c:v>
                </c:pt>
                <c:pt idx="10">
                  <c:v>106.77229477032209</c:v>
                </c:pt>
                <c:pt idx="11">
                  <c:v>114.68135364219782</c:v>
                </c:pt>
                <c:pt idx="12">
                  <c:v>122.59041251407349</c:v>
                </c:pt>
              </c:numCache>
            </c:numRef>
          </c:xVal>
          <c:yVal>
            <c:numRef>
              <c:f>Inputs!$G$59:$G$71</c:f>
              <c:numCache>
                <c:formatCode>0</c:formatCode>
                <c:ptCount val="13"/>
                <c:pt idx="0">
                  <c:v>207.85518514588861</c:v>
                </c:pt>
                <c:pt idx="1">
                  <c:v>274.66578037135281</c:v>
                </c:pt>
                <c:pt idx="2">
                  <c:v>311.7827777188329</c:v>
                </c:pt>
                <c:pt idx="3">
                  <c:v>326.629576657825</c:v>
                </c:pt>
                <c:pt idx="4">
                  <c:v>341.47637559681704</c:v>
                </c:pt>
                <c:pt idx="5">
                  <c:v>348.89977506631305</c:v>
                </c:pt>
                <c:pt idx="6">
                  <c:v>408.28697082228121</c:v>
                </c:pt>
                <c:pt idx="7">
                  <c:v>415.71037029177722</c:v>
                </c:pt>
                <c:pt idx="8">
                  <c:v>418.18483678160925</c:v>
                </c:pt>
                <c:pt idx="9">
                  <c:v>418.18483678160925</c:v>
                </c:pt>
                <c:pt idx="10">
                  <c:v>393.44017188328917</c:v>
                </c:pt>
                <c:pt idx="11">
                  <c:v>351.37424155614508</c:v>
                </c:pt>
                <c:pt idx="12">
                  <c:v>314.25724420866493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8E-4756-94F2-A907F4DC8C89}"/>
            </c:ext>
          </c:extLst>
        </c:ser>
        <c:ser>
          <c:idx val="9"/>
          <c:order val="9"/>
          <c:tx>
            <c:v>4th</c:v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xVal>
            <c:numRef>
              <c:f>Inputs!$H$59:$H$71</c:f>
              <c:numCache>
                <c:formatCode>0.0</c:formatCode>
                <c:ptCount val="13"/>
                <c:pt idx="0">
                  <c:v>32.312629119456211</c:v>
                </c:pt>
                <c:pt idx="1">
                  <c:v>41.544808867872263</c:v>
                </c:pt>
                <c:pt idx="2">
                  <c:v>50.776988616288321</c:v>
                </c:pt>
                <c:pt idx="3">
                  <c:v>60.009168364704379</c:v>
                </c:pt>
                <c:pt idx="4">
                  <c:v>69.241348113120452</c:v>
                </c:pt>
                <c:pt idx="5">
                  <c:v>78.473527861536496</c:v>
                </c:pt>
                <c:pt idx="6">
                  <c:v>87.705707609952569</c:v>
                </c:pt>
                <c:pt idx="7">
                  <c:v>96.937887358368613</c:v>
                </c:pt>
                <c:pt idx="8">
                  <c:v>106.17006710678469</c:v>
                </c:pt>
                <c:pt idx="9">
                  <c:v>115.40224685520074</c:v>
                </c:pt>
                <c:pt idx="10">
                  <c:v>124.6344266036168</c:v>
                </c:pt>
                <c:pt idx="11">
                  <c:v>133.86660635203287</c:v>
                </c:pt>
                <c:pt idx="12">
                  <c:v>143.0987861004489</c:v>
                </c:pt>
              </c:numCache>
            </c:numRef>
          </c:xVal>
          <c:yVal>
            <c:numRef>
              <c:f>Inputs!$I$59:$I$71</c:f>
              <c:numCache>
                <c:formatCode>0</c:formatCode>
                <c:ptCount val="13"/>
                <c:pt idx="0">
                  <c:v>178.06617082228118</c:v>
                </c:pt>
                <c:pt idx="1">
                  <c:v>235.30172572944301</c:v>
                </c:pt>
                <c:pt idx="2">
                  <c:v>267.09925623342178</c:v>
                </c:pt>
                <c:pt idx="3">
                  <c:v>279.81826843501335</c:v>
                </c:pt>
                <c:pt idx="4">
                  <c:v>292.53728063660486</c:v>
                </c:pt>
                <c:pt idx="5">
                  <c:v>298.89678673740059</c:v>
                </c:pt>
                <c:pt idx="6">
                  <c:v>349.77283554376658</c:v>
                </c:pt>
                <c:pt idx="7">
                  <c:v>356.13234164456236</c:v>
                </c:pt>
                <c:pt idx="8">
                  <c:v>358.25217701149427</c:v>
                </c:pt>
                <c:pt idx="9">
                  <c:v>358.25217701149427</c:v>
                </c:pt>
                <c:pt idx="10">
                  <c:v>337.05382334217506</c:v>
                </c:pt>
                <c:pt idx="11">
                  <c:v>301.0166221043325</c:v>
                </c:pt>
                <c:pt idx="12">
                  <c:v>269.21909160035369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58E-4756-94F2-A907F4DC8C89}"/>
            </c:ext>
          </c:extLst>
        </c:ser>
        <c:ser>
          <c:idx val="10"/>
          <c:order val="10"/>
          <c:tx>
            <c:v>5th</c:v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xVal>
            <c:numRef>
              <c:f>Inputs!$J$59:$J$71</c:f>
              <c:numCache>
                <c:formatCode>0.0</c:formatCode>
                <c:ptCount val="13"/>
                <c:pt idx="0">
                  <c:v>36.195575307760606</c:v>
                </c:pt>
                <c:pt idx="1">
                  <c:v>46.53716825283508</c:v>
                </c:pt>
                <c:pt idx="2">
                  <c:v>56.878761197909526</c:v>
                </c:pt>
                <c:pt idx="3">
                  <c:v>67.220354142983993</c:v>
                </c:pt>
                <c:pt idx="4">
                  <c:v>77.56194708805846</c:v>
                </c:pt>
                <c:pt idx="5">
                  <c:v>87.903540033132899</c:v>
                </c:pt>
                <c:pt idx="6">
                  <c:v>98.24513297820738</c:v>
                </c:pt>
                <c:pt idx="7">
                  <c:v>108.58672592328182</c:v>
                </c:pt>
                <c:pt idx="8">
                  <c:v>118.92831886835629</c:v>
                </c:pt>
                <c:pt idx="9">
                  <c:v>129.26991181343078</c:v>
                </c:pt>
                <c:pt idx="10">
                  <c:v>139.61150475850522</c:v>
                </c:pt>
                <c:pt idx="11">
                  <c:v>149.95309770357966</c:v>
                </c:pt>
                <c:pt idx="12">
                  <c:v>160.29469064865413</c:v>
                </c:pt>
              </c:numCache>
            </c:numRef>
          </c:xVal>
          <c:yVal>
            <c:numRef>
              <c:f>Inputs!$K$59:$K$71</c:f>
              <c:numCache>
                <c:formatCode>0</c:formatCode>
                <c:ptCount val="13"/>
                <c:pt idx="0">
                  <c:v>158.96379840848809</c:v>
                </c:pt>
                <c:pt idx="1">
                  <c:v>210.05930503978783</c:v>
                </c:pt>
                <c:pt idx="2">
                  <c:v>238.44569761273209</c:v>
                </c:pt>
                <c:pt idx="3">
                  <c:v>249.80025464190985</c:v>
                </c:pt>
                <c:pt idx="4">
                  <c:v>261.1548116710876</c:v>
                </c:pt>
                <c:pt idx="5">
                  <c:v>266.83209018567641</c:v>
                </c:pt>
                <c:pt idx="6">
                  <c:v>312.25031830238726</c:v>
                </c:pt>
                <c:pt idx="7">
                  <c:v>317.92759681697618</c:v>
                </c:pt>
                <c:pt idx="8">
                  <c:v>319.82002298850574</c:v>
                </c:pt>
                <c:pt idx="9">
                  <c:v>319.82002298850574</c:v>
                </c:pt>
                <c:pt idx="10">
                  <c:v>300.89576127320953</c:v>
                </c:pt>
                <c:pt idx="11">
                  <c:v>268.72451635720603</c:v>
                </c:pt>
                <c:pt idx="12">
                  <c:v>240.33812378426174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58E-4756-94F2-A907F4DC8C89}"/>
            </c:ext>
          </c:extLst>
        </c:ser>
        <c:ser>
          <c:idx val="11"/>
          <c:order val="11"/>
          <c:tx>
            <c:v>6th</c:v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xVal>
            <c:numRef>
              <c:f>Inputs!$L$59:$L$71</c:f>
              <c:numCache>
                <c:formatCode>0.0</c:formatCode>
                <c:ptCount val="13"/>
                <c:pt idx="0">
                  <c:v>39.771684779533821</c:v>
                </c:pt>
                <c:pt idx="1">
                  <c:v>51.135023287972039</c:v>
                </c:pt>
                <c:pt idx="2">
                  <c:v>62.498361796410279</c:v>
                </c:pt>
                <c:pt idx="3">
                  <c:v>73.861700304848512</c:v>
                </c:pt>
                <c:pt idx="4">
                  <c:v>85.225038813286758</c:v>
                </c:pt>
                <c:pt idx="5">
                  <c:v>96.588377321724991</c:v>
                </c:pt>
                <c:pt idx="6">
                  <c:v>107.95171583016324</c:v>
                </c:pt>
                <c:pt idx="7">
                  <c:v>119.31505433860146</c:v>
                </c:pt>
                <c:pt idx="8">
                  <c:v>130.67839284703967</c:v>
                </c:pt>
                <c:pt idx="9">
                  <c:v>142.04173135547794</c:v>
                </c:pt>
                <c:pt idx="10">
                  <c:v>153.40506986391614</c:v>
                </c:pt>
                <c:pt idx="11">
                  <c:v>164.76840837235437</c:v>
                </c:pt>
                <c:pt idx="12">
                  <c:v>176.13174688079263</c:v>
                </c:pt>
              </c:numCache>
            </c:numRef>
          </c:xVal>
          <c:yVal>
            <c:numRef>
              <c:f>Inputs!$M$59:$M$71</c:f>
              <c:numCache>
                <c:formatCode>0</c:formatCode>
                <c:ptCount val="13"/>
                <c:pt idx="0">
                  <c:v>144.67041485411141</c:v>
                </c:pt>
                <c:pt idx="1">
                  <c:v>191.17161962864725</c:v>
                </c:pt>
                <c:pt idx="2">
                  <c:v>217.00562228116712</c:v>
                </c:pt>
                <c:pt idx="3">
                  <c:v>227.3392233421751</c:v>
                </c:pt>
                <c:pt idx="4">
                  <c:v>237.67282440318306</c:v>
                </c:pt>
                <c:pt idx="5">
                  <c:v>242.83962493368702</c:v>
                </c:pt>
                <c:pt idx="6">
                  <c:v>284.17402917771886</c:v>
                </c:pt>
                <c:pt idx="7">
                  <c:v>289.34082970822283</c:v>
                </c:pt>
                <c:pt idx="8">
                  <c:v>291.06309655172413</c:v>
                </c:pt>
                <c:pt idx="9">
                  <c:v>291.06309655172413</c:v>
                </c:pt>
                <c:pt idx="10">
                  <c:v>273.84042811671088</c:v>
                </c:pt>
                <c:pt idx="11">
                  <c:v>244.56189177718838</c:v>
                </c:pt>
                <c:pt idx="12">
                  <c:v>218.72788912466845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58E-4756-94F2-A907F4DC8C89}"/>
            </c:ext>
          </c:extLst>
        </c:ser>
        <c:ser>
          <c:idx val="0"/>
          <c:order val="0"/>
          <c:tx>
            <c:strRef>
              <c:f>Inputs!$B$73</c:f>
              <c:strCache>
                <c:ptCount val="1"/>
                <c:pt idx="0">
                  <c:v>R6 Track (50T)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Inputs!$B$75:$B$87</c:f>
              <c:numCache>
                <c:formatCode>0.0</c:formatCode>
                <c:ptCount val="13"/>
                <c:pt idx="0">
                  <c:v>13.92372306638662</c:v>
                </c:pt>
                <c:pt idx="1">
                  <c:v>17.901929656782798</c:v>
                </c:pt>
                <c:pt idx="2">
                  <c:v>21.880136247178974</c:v>
                </c:pt>
                <c:pt idx="3">
                  <c:v>25.858342837575155</c:v>
                </c:pt>
                <c:pt idx="4">
                  <c:v>29.836549427971331</c:v>
                </c:pt>
                <c:pt idx="5">
                  <c:v>33.814756018367504</c:v>
                </c:pt>
                <c:pt idx="6">
                  <c:v>37.792962608763681</c:v>
                </c:pt>
                <c:pt idx="7">
                  <c:v>41.771169199159864</c:v>
                </c:pt>
                <c:pt idx="8">
                  <c:v>45.749375789556041</c:v>
                </c:pt>
                <c:pt idx="9">
                  <c:v>49.727582379952224</c:v>
                </c:pt>
                <c:pt idx="10">
                  <c:v>53.705788970348394</c:v>
                </c:pt>
                <c:pt idx="11">
                  <c:v>57.68399556074457</c:v>
                </c:pt>
                <c:pt idx="12">
                  <c:v>61.662202151140747</c:v>
                </c:pt>
              </c:numCache>
            </c:numRef>
          </c:xVal>
          <c:yVal>
            <c:numRef>
              <c:f>Inputs!$C$75:$C$87</c:f>
              <c:numCache>
                <c:formatCode>0</c:formatCode>
                <c:ptCount val="13"/>
                <c:pt idx="0">
                  <c:v>413.23618037135276</c:v>
                </c:pt>
                <c:pt idx="1">
                  <c:v>546.06209549071616</c:v>
                </c:pt>
                <c:pt idx="2">
                  <c:v>619.85427055702905</c:v>
                </c:pt>
                <c:pt idx="3">
                  <c:v>649.37114058355439</c:v>
                </c:pt>
                <c:pt idx="4">
                  <c:v>678.88801061007962</c:v>
                </c:pt>
                <c:pt idx="5">
                  <c:v>693.64644562334217</c:v>
                </c:pt>
                <c:pt idx="6">
                  <c:v>811.71392572944285</c:v>
                </c:pt>
                <c:pt idx="7">
                  <c:v>826.47236074270552</c:v>
                </c:pt>
                <c:pt idx="8">
                  <c:v>831.3918390804597</c:v>
                </c:pt>
                <c:pt idx="9">
                  <c:v>831.3918390804597</c:v>
                </c:pt>
                <c:pt idx="10">
                  <c:v>782.19705570291774</c:v>
                </c:pt>
                <c:pt idx="11">
                  <c:v>698.56592396109636</c:v>
                </c:pt>
                <c:pt idx="12">
                  <c:v>624.77374889478335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58E-4756-94F2-A907F4DC8C89}"/>
            </c:ext>
          </c:extLst>
        </c:ser>
        <c:ser>
          <c:idx val="1"/>
          <c:order val="1"/>
          <c:tx>
            <c:v>2T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Inputs!$D$75:$D$87</c:f>
              <c:numCache>
                <c:formatCode>0.0</c:formatCode>
                <c:ptCount val="13"/>
                <c:pt idx="0">
                  <c:v>20.352807317378694</c:v>
                </c:pt>
                <c:pt idx="1">
                  <c:v>26.167895122344035</c:v>
                </c:pt>
                <c:pt idx="2">
                  <c:v>31.982982927309379</c:v>
                </c:pt>
                <c:pt idx="3">
                  <c:v>37.798070732274724</c:v>
                </c:pt>
                <c:pt idx="4">
                  <c:v>43.613158537240047</c:v>
                </c:pt>
                <c:pt idx="5">
                  <c:v>49.428246342205384</c:v>
                </c:pt>
                <c:pt idx="6">
                  <c:v>55.243334147170742</c:v>
                </c:pt>
                <c:pt idx="7">
                  <c:v>61.058421952136079</c:v>
                </c:pt>
                <c:pt idx="8">
                  <c:v>66.873509757101431</c:v>
                </c:pt>
                <c:pt idx="9">
                  <c:v>72.688597562066761</c:v>
                </c:pt>
                <c:pt idx="10">
                  <c:v>78.503685367032105</c:v>
                </c:pt>
                <c:pt idx="11">
                  <c:v>84.318773171997449</c:v>
                </c:pt>
                <c:pt idx="12">
                  <c:v>90.133860976962794</c:v>
                </c:pt>
              </c:numCache>
            </c:numRef>
          </c:xVal>
          <c:yVal>
            <c:numRef>
              <c:f>Inputs!$E$75:$E$87</c:f>
              <c:numCache>
                <c:formatCode>0</c:formatCode>
                <c:ptCount val="13"/>
                <c:pt idx="0">
                  <c:v>282.70233421750663</c:v>
                </c:pt>
                <c:pt idx="1">
                  <c:v>373.57094164456237</c:v>
                </c:pt>
                <c:pt idx="2">
                  <c:v>424.05350132625995</c:v>
                </c:pt>
                <c:pt idx="3">
                  <c:v>444.24652519893908</c:v>
                </c:pt>
                <c:pt idx="4">
                  <c:v>464.4395490716181</c:v>
                </c:pt>
                <c:pt idx="5">
                  <c:v>474.53606100795758</c:v>
                </c:pt>
                <c:pt idx="6">
                  <c:v>555.30815649867372</c:v>
                </c:pt>
                <c:pt idx="7">
                  <c:v>565.40466843501326</c:v>
                </c:pt>
                <c:pt idx="8">
                  <c:v>568.77017241379303</c:v>
                </c:pt>
                <c:pt idx="9">
                  <c:v>568.77017241379303</c:v>
                </c:pt>
                <c:pt idx="10">
                  <c:v>535.11513262599465</c:v>
                </c:pt>
                <c:pt idx="11">
                  <c:v>477.90156498673747</c:v>
                </c:pt>
                <c:pt idx="12">
                  <c:v>427.41900530503983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58E-4756-94F2-A907F4DC8C89}"/>
            </c:ext>
          </c:extLst>
        </c:ser>
        <c:ser>
          <c:idx val="2"/>
          <c:order val="2"/>
          <c:tx>
            <c:v>3T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Inputs!$F$75:$F$87</c:f>
              <c:numCache>
                <c:formatCode>0.0</c:formatCode>
                <c:ptCount val="13"/>
                <c:pt idx="0">
                  <c:v>25.467169567439797</c:v>
                </c:pt>
                <c:pt idx="1">
                  <c:v>32.743503729565447</c:v>
                </c:pt>
                <c:pt idx="2">
                  <c:v>40.019837891691104</c:v>
                </c:pt>
                <c:pt idx="3">
                  <c:v>47.296172053816761</c:v>
                </c:pt>
                <c:pt idx="4">
                  <c:v>54.572506215942411</c:v>
                </c:pt>
                <c:pt idx="5">
                  <c:v>61.848840378068068</c:v>
                </c:pt>
                <c:pt idx="6">
                  <c:v>69.125174540193726</c:v>
                </c:pt>
                <c:pt idx="7">
                  <c:v>76.401508702319362</c:v>
                </c:pt>
                <c:pt idx="8">
                  <c:v>83.677842864445026</c:v>
                </c:pt>
                <c:pt idx="9">
                  <c:v>90.954177026570676</c:v>
                </c:pt>
                <c:pt idx="10">
                  <c:v>98.23051118869634</c:v>
                </c:pt>
                <c:pt idx="11">
                  <c:v>105.506845350822</c:v>
                </c:pt>
                <c:pt idx="12">
                  <c:v>112.78317951294765</c:v>
                </c:pt>
              </c:numCache>
            </c:numRef>
          </c:xVal>
          <c:yVal>
            <c:numRef>
              <c:f>Inputs!$G$75:$G$87</c:f>
              <c:numCache>
                <c:formatCode>0</c:formatCode>
                <c:ptCount val="13"/>
                <c:pt idx="0">
                  <c:v>225.92954907161803</c:v>
                </c:pt>
                <c:pt idx="1">
                  <c:v>298.54976127320958</c:v>
                </c:pt>
                <c:pt idx="2">
                  <c:v>338.894323607427</c:v>
                </c:pt>
                <c:pt idx="3">
                  <c:v>355.03214854111411</c:v>
                </c:pt>
                <c:pt idx="4">
                  <c:v>371.16997347480111</c:v>
                </c:pt>
                <c:pt idx="5">
                  <c:v>379.23888594164453</c:v>
                </c:pt>
                <c:pt idx="6">
                  <c:v>443.79018567639253</c:v>
                </c:pt>
                <c:pt idx="7">
                  <c:v>451.85909814323605</c:v>
                </c:pt>
                <c:pt idx="8">
                  <c:v>454.54873563218388</c:v>
                </c:pt>
                <c:pt idx="9">
                  <c:v>454.54873563218388</c:v>
                </c:pt>
                <c:pt idx="10">
                  <c:v>427.65236074270553</c:v>
                </c:pt>
                <c:pt idx="11">
                  <c:v>381.92852343059241</c:v>
                </c:pt>
                <c:pt idx="12">
                  <c:v>341.58396109637488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58E-4756-94F2-A907F4DC8C89}"/>
            </c:ext>
          </c:extLst>
        </c:ser>
        <c:ser>
          <c:idx val="3"/>
          <c:order val="3"/>
          <c:tx>
            <c:v>4T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Inputs!$H$75:$H$87</c:f>
              <c:numCache>
                <c:formatCode>0.0</c:formatCode>
                <c:ptCount val="13"/>
                <c:pt idx="0">
                  <c:v>29.727618789899708</c:v>
                </c:pt>
                <c:pt idx="1">
                  <c:v>38.221224158442489</c:v>
                </c:pt>
                <c:pt idx="2">
                  <c:v>46.714829526985262</c:v>
                </c:pt>
                <c:pt idx="3">
                  <c:v>55.208434895528029</c:v>
                </c:pt>
                <c:pt idx="4">
                  <c:v>63.702040264070803</c:v>
                </c:pt>
                <c:pt idx="5">
                  <c:v>72.195645632613591</c:v>
                </c:pt>
                <c:pt idx="6">
                  <c:v>80.68925100115635</c:v>
                </c:pt>
                <c:pt idx="7">
                  <c:v>89.182856369699124</c:v>
                </c:pt>
                <c:pt idx="8">
                  <c:v>97.676461738241912</c:v>
                </c:pt>
                <c:pt idx="9">
                  <c:v>106.17006710678469</c:v>
                </c:pt>
                <c:pt idx="10">
                  <c:v>114.66367247532746</c:v>
                </c:pt>
                <c:pt idx="11">
                  <c:v>123.15727784387026</c:v>
                </c:pt>
                <c:pt idx="12">
                  <c:v>131.65088321241299</c:v>
                </c:pt>
              </c:numCache>
            </c:numRef>
          </c:xVal>
          <c:yVal>
            <c:numRef>
              <c:f>Inputs!$I$75:$I$87</c:f>
              <c:numCache>
                <c:formatCode>0</c:formatCode>
                <c:ptCount val="13"/>
                <c:pt idx="0">
                  <c:v>193.55018567639257</c:v>
                </c:pt>
                <c:pt idx="1">
                  <c:v>255.76274535809023</c:v>
                </c:pt>
                <c:pt idx="2">
                  <c:v>290.32527851458883</c:v>
                </c:pt>
                <c:pt idx="3">
                  <c:v>304.15029177718839</c:v>
                </c:pt>
                <c:pt idx="4">
                  <c:v>317.97530503978783</c:v>
                </c:pt>
                <c:pt idx="5">
                  <c:v>324.88781167108755</c:v>
                </c:pt>
                <c:pt idx="6">
                  <c:v>380.18786472148543</c:v>
                </c:pt>
                <c:pt idx="7">
                  <c:v>387.10037135278515</c:v>
                </c:pt>
                <c:pt idx="8">
                  <c:v>389.40454022988507</c:v>
                </c:pt>
                <c:pt idx="9">
                  <c:v>389.40454022988507</c:v>
                </c:pt>
                <c:pt idx="10">
                  <c:v>366.36285145888593</c:v>
                </c:pt>
                <c:pt idx="11">
                  <c:v>327.19198054818747</c:v>
                </c:pt>
                <c:pt idx="12">
                  <c:v>292.62944739168881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58E-4756-94F2-A907F4DC8C89}"/>
            </c:ext>
          </c:extLst>
        </c:ser>
        <c:ser>
          <c:idx val="4"/>
          <c:order val="4"/>
          <c:tx>
            <c:v>5T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Inputs!$J$75:$J$87</c:f>
              <c:numCache>
                <c:formatCode>0.0</c:formatCode>
                <c:ptCount val="13"/>
                <c:pt idx="0">
                  <c:v>33.299929283139761</c:v>
                </c:pt>
                <c:pt idx="1">
                  <c:v>42.814194792608262</c:v>
                </c:pt>
                <c:pt idx="2">
                  <c:v>52.328460302076778</c:v>
                </c:pt>
                <c:pt idx="3">
                  <c:v>61.842725811545286</c:v>
                </c:pt>
                <c:pt idx="4">
                  <c:v>71.35699132101378</c:v>
                </c:pt>
                <c:pt idx="5">
                  <c:v>80.871256830482281</c:v>
                </c:pt>
                <c:pt idx="6">
                  <c:v>90.385522339950782</c:v>
                </c:pt>
                <c:pt idx="7">
                  <c:v>99.899787849419312</c:v>
                </c:pt>
                <c:pt idx="8">
                  <c:v>109.4140533588878</c:v>
                </c:pt>
                <c:pt idx="9">
                  <c:v>118.9283188683563</c:v>
                </c:pt>
                <c:pt idx="10">
                  <c:v>128.44258437782483</c:v>
                </c:pt>
                <c:pt idx="11">
                  <c:v>137.95684988729332</c:v>
                </c:pt>
                <c:pt idx="12">
                  <c:v>147.4711153967618</c:v>
                </c:pt>
              </c:numCache>
            </c:numRef>
          </c:xVal>
          <c:yVal>
            <c:numRef>
              <c:f>Inputs!$K$75:$K$87</c:f>
              <c:numCache>
                <c:formatCode>0</c:formatCode>
                <c:ptCount val="13"/>
                <c:pt idx="0">
                  <c:v>172.78673740053048</c:v>
                </c:pt>
                <c:pt idx="1">
                  <c:v>228.32533156498673</c:v>
                </c:pt>
                <c:pt idx="2">
                  <c:v>259.18010610079574</c:v>
                </c:pt>
                <c:pt idx="3">
                  <c:v>271.52201591511937</c:v>
                </c:pt>
                <c:pt idx="4">
                  <c:v>283.863925729443</c:v>
                </c:pt>
                <c:pt idx="5">
                  <c:v>290.03488063660473</c:v>
                </c:pt>
                <c:pt idx="6">
                  <c:v>339.40251989389918</c:v>
                </c:pt>
                <c:pt idx="7">
                  <c:v>345.57347480106097</c:v>
                </c:pt>
                <c:pt idx="8">
                  <c:v>347.6304597701149</c:v>
                </c:pt>
                <c:pt idx="9">
                  <c:v>347.6304597701149</c:v>
                </c:pt>
                <c:pt idx="10">
                  <c:v>327.06061007957555</c:v>
                </c:pt>
                <c:pt idx="11">
                  <c:v>292.09186560565871</c:v>
                </c:pt>
                <c:pt idx="12">
                  <c:v>261.23709106984967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58E-4756-94F2-A907F4DC8C89}"/>
            </c:ext>
          </c:extLst>
        </c:ser>
        <c:ser>
          <c:idx val="5"/>
          <c:order val="5"/>
          <c:tx>
            <c:v>6T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Inputs!$L$75:$L$87</c:f>
              <c:numCache>
                <c:formatCode>0.0</c:formatCode>
                <c:ptCount val="13"/>
                <c:pt idx="0">
                  <c:v>36.589949997171118</c:v>
                </c:pt>
                <c:pt idx="1">
                  <c:v>47.044221424934285</c:v>
                </c:pt>
                <c:pt idx="2">
                  <c:v>57.498492852697467</c:v>
                </c:pt>
                <c:pt idx="3">
                  <c:v>67.952764280460642</c:v>
                </c:pt>
                <c:pt idx="4">
                  <c:v>78.407035708223816</c:v>
                </c:pt>
                <c:pt idx="5">
                  <c:v>88.861307135986991</c:v>
                </c:pt>
                <c:pt idx="6">
                  <c:v>99.315578563750137</c:v>
                </c:pt>
                <c:pt idx="7">
                  <c:v>109.76984999151333</c:v>
                </c:pt>
                <c:pt idx="8">
                  <c:v>120.22412141927653</c:v>
                </c:pt>
                <c:pt idx="9">
                  <c:v>130.67839284703967</c:v>
                </c:pt>
                <c:pt idx="10">
                  <c:v>141.13266427480286</c:v>
                </c:pt>
                <c:pt idx="11">
                  <c:v>151.58693570256602</c:v>
                </c:pt>
                <c:pt idx="12">
                  <c:v>162.04120713032921</c:v>
                </c:pt>
              </c:numCache>
            </c:numRef>
          </c:xVal>
          <c:yVal>
            <c:numRef>
              <c:f>Inputs!$M$75:$M$87</c:f>
              <c:numCache>
                <c:formatCode>0</c:formatCode>
                <c:ptCount val="13"/>
                <c:pt idx="0">
                  <c:v>157.25045092838198</c:v>
                </c:pt>
                <c:pt idx="1">
                  <c:v>207.79523872679047</c:v>
                </c:pt>
                <c:pt idx="2">
                  <c:v>235.87567639257296</c:v>
                </c:pt>
                <c:pt idx="3">
                  <c:v>247.10785145888599</c:v>
                </c:pt>
                <c:pt idx="4">
                  <c:v>258.34002652519899</c:v>
                </c:pt>
                <c:pt idx="5">
                  <c:v>263.95611405835547</c:v>
                </c:pt>
                <c:pt idx="6">
                  <c:v>308.88481432360743</c:v>
                </c:pt>
                <c:pt idx="7">
                  <c:v>314.50090185676396</c:v>
                </c:pt>
                <c:pt idx="8">
                  <c:v>316.37293103448275</c:v>
                </c:pt>
                <c:pt idx="9">
                  <c:v>316.37293103448275</c:v>
                </c:pt>
                <c:pt idx="10">
                  <c:v>297.65263925729442</c:v>
                </c:pt>
                <c:pt idx="11">
                  <c:v>265.82814323607431</c:v>
                </c:pt>
                <c:pt idx="12">
                  <c:v>237.7477055702918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58E-4756-94F2-A907F4DC8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31008"/>
        <c:axId val="57016704"/>
      </c:scatterChart>
      <c:valAx>
        <c:axId val="57531008"/>
        <c:scaling>
          <c:orientation val="minMax"/>
          <c:max val="18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57016704"/>
        <c:crosses val="autoZero"/>
        <c:crossBetween val="midCat"/>
        <c:majorUnit val="10"/>
      </c:valAx>
      <c:valAx>
        <c:axId val="57016704"/>
        <c:scaling>
          <c:orientation val="minMax"/>
          <c:min val="2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7531008"/>
        <c:crosses val="autoZero"/>
        <c:crossBetween val="midCat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overlay val="1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Inputs!$B$89</c:f>
              <c:strCache>
                <c:ptCount val="1"/>
                <c:pt idx="0">
                  <c:v>01 F4i Track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xVal>
            <c:numRef>
              <c:f>Inputs!$B$91:$B$103</c:f>
              <c:numCache>
                <c:formatCode>0.0</c:formatCode>
                <c:ptCount val="13"/>
                <c:pt idx="0">
                  <c:v>13.771085836312659</c:v>
                </c:pt>
                <c:pt idx="1">
                  <c:v>17.705681789544848</c:v>
                </c:pt>
                <c:pt idx="2">
                  <c:v>21.64027774277703</c:v>
                </c:pt>
                <c:pt idx="3">
                  <c:v>25.574873696009227</c:v>
                </c:pt>
                <c:pt idx="4">
                  <c:v>29.50946964924141</c:v>
                </c:pt>
                <c:pt idx="5">
                  <c:v>33.4440656024736</c:v>
                </c:pt>
                <c:pt idx="6">
                  <c:v>37.37866155570579</c:v>
                </c:pt>
                <c:pt idx="7">
                  <c:v>41.31325750893798</c:v>
                </c:pt>
                <c:pt idx="8">
                  <c:v>45.247853462170163</c:v>
                </c:pt>
                <c:pt idx="9">
                  <c:v>49.182449415402353</c:v>
                </c:pt>
                <c:pt idx="10">
                  <c:v>53.117045368634543</c:v>
                </c:pt>
                <c:pt idx="11">
                  <c:v>57.051641321866732</c:v>
                </c:pt>
                <c:pt idx="12">
                  <c:v>60.986237275098915</c:v>
                </c:pt>
              </c:numCache>
            </c:numRef>
          </c:xVal>
          <c:yVal>
            <c:numRef>
              <c:f>Inputs!$C$91:$C$103</c:f>
              <c:numCache>
                <c:formatCode>0</c:formatCode>
                <c:ptCount val="13"/>
                <c:pt idx="0">
                  <c:v>496.37647058823541</c:v>
                </c:pt>
                <c:pt idx="1">
                  <c:v>534.98352941176483</c:v>
                </c:pt>
                <c:pt idx="2">
                  <c:v>546.01411764705892</c:v>
                </c:pt>
                <c:pt idx="3">
                  <c:v>656.32</c:v>
                </c:pt>
                <c:pt idx="4">
                  <c:v>722.50352941176482</c:v>
                </c:pt>
                <c:pt idx="5">
                  <c:v>722.50352941176482</c:v>
                </c:pt>
                <c:pt idx="6">
                  <c:v>766.62588235294129</c:v>
                </c:pt>
                <c:pt idx="7">
                  <c:v>783.17176470588242</c:v>
                </c:pt>
                <c:pt idx="8">
                  <c:v>772.14117647058833</c:v>
                </c:pt>
                <c:pt idx="9">
                  <c:v>744.564705882353</c:v>
                </c:pt>
                <c:pt idx="10">
                  <c:v>672.8658823529413</c:v>
                </c:pt>
                <c:pt idx="11">
                  <c:v>573.59058823529426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79-4B6A-8CAD-13A9BDF756BD}"/>
            </c:ext>
          </c:extLst>
        </c:ser>
        <c:ser>
          <c:idx val="1"/>
          <c:order val="1"/>
          <c:tx>
            <c:v>2nd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Inputs!$D$91:$D$103</c:f>
              <c:numCache>
                <c:formatCode>0.0</c:formatCode>
                <c:ptCount val="13"/>
                <c:pt idx="0">
                  <c:v>19.195661988770738</c:v>
                </c:pt>
                <c:pt idx="1">
                  <c:v>24.680136842705235</c:v>
                </c:pt>
                <c:pt idx="2">
                  <c:v>30.164611696639735</c:v>
                </c:pt>
                <c:pt idx="3">
                  <c:v>35.649086550574232</c:v>
                </c:pt>
                <c:pt idx="4">
                  <c:v>41.133561404508725</c:v>
                </c:pt>
                <c:pt idx="5">
                  <c:v>46.618036258443226</c:v>
                </c:pt>
                <c:pt idx="6">
                  <c:v>52.102511112377712</c:v>
                </c:pt>
                <c:pt idx="7">
                  <c:v>57.58698596631222</c:v>
                </c:pt>
                <c:pt idx="8">
                  <c:v>63.07146082024672</c:v>
                </c:pt>
                <c:pt idx="9">
                  <c:v>68.555935674181214</c:v>
                </c:pt>
                <c:pt idx="10">
                  <c:v>74.040410528115714</c:v>
                </c:pt>
                <c:pt idx="11">
                  <c:v>79.524885382050201</c:v>
                </c:pt>
                <c:pt idx="12">
                  <c:v>85.009360235984701</c:v>
                </c:pt>
              </c:numCache>
            </c:numRef>
          </c:xVal>
          <c:yVal>
            <c:numRef>
              <c:f>Inputs!$E$91:$E$103</c:f>
              <c:numCache>
                <c:formatCode>0</c:formatCode>
                <c:ptCount val="13"/>
                <c:pt idx="0">
                  <c:v>356.10352941176473</c:v>
                </c:pt>
                <c:pt idx="1">
                  <c:v>383.80047058823533</c:v>
                </c:pt>
                <c:pt idx="2">
                  <c:v>391.71388235294114</c:v>
                </c:pt>
                <c:pt idx="3">
                  <c:v>470.84800000000001</c:v>
                </c:pt>
                <c:pt idx="4">
                  <c:v>518.32847058823529</c:v>
                </c:pt>
                <c:pt idx="5">
                  <c:v>518.32847058823529</c:v>
                </c:pt>
                <c:pt idx="6">
                  <c:v>549.98211764705877</c:v>
                </c:pt>
                <c:pt idx="7">
                  <c:v>561.85223529411769</c:v>
                </c:pt>
                <c:pt idx="8">
                  <c:v>553.93882352941182</c:v>
                </c:pt>
                <c:pt idx="9">
                  <c:v>534.15529411764703</c:v>
                </c:pt>
                <c:pt idx="10">
                  <c:v>482.71811764705882</c:v>
                </c:pt>
                <c:pt idx="11">
                  <c:v>411.49741176470587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79-4B6A-8CAD-13A9BDF756BD}"/>
            </c:ext>
          </c:extLst>
        </c:ser>
        <c:ser>
          <c:idx val="2"/>
          <c:order val="2"/>
          <c:tx>
            <c:v>3rd</c:v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xVal>
            <c:numRef>
              <c:f>Inputs!$F$91:$F$103</c:f>
              <c:numCache>
                <c:formatCode>0.0</c:formatCode>
                <c:ptCount val="13"/>
                <c:pt idx="0">
                  <c:v>25.345026068088</c:v>
                </c:pt>
                <c:pt idx="1">
                  <c:v>32.586462087541705</c:v>
                </c:pt>
                <c:pt idx="2">
                  <c:v>39.827898106995427</c:v>
                </c:pt>
                <c:pt idx="3">
                  <c:v>47.069334126449135</c:v>
                </c:pt>
                <c:pt idx="4">
                  <c:v>54.310770145902858</c:v>
                </c:pt>
                <c:pt idx="5">
                  <c:v>61.552206165356566</c:v>
                </c:pt>
                <c:pt idx="6">
                  <c:v>68.793642184810281</c:v>
                </c:pt>
                <c:pt idx="7">
                  <c:v>76.035078204263996</c:v>
                </c:pt>
                <c:pt idx="8">
                  <c:v>83.276514223717712</c:v>
                </c:pt>
                <c:pt idx="9">
                  <c:v>90.517950243171398</c:v>
                </c:pt>
                <c:pt idx="10">
                  <c:v>97.759386262625142</c:v>
                </c:pt>
                <c:pt idx="11">
                  <c:v>105.00082228207884</c:v>
                </c:pt>
                <c:pt idx="12">
                  <c:v>112.24225830153254</c:v>
                </c:pt>
              </c:numCache>
            </c:numRef>
          </c:xVal>
          <c:yVal>
            <c:numRef>
              <c:f>Inputs!$G$91:$G$103</c:f>
              <c:numCache>
                <c:formatCode>0</c:formatCode>
                <c:ptCount val="13"/>
                <c:pt idx="0">
                  <c:v>269.70352941176475</c:v>
                </c:pt>
                <c:pt idx="1">
                  <c:v>290.68047058823532</c:v>
                </c:pt>
                <c:pt idx="2">
                  <c:v>296.67388235294118</c:v>
                </c:pt>
                <c:pt idx="3">
                  <c:v>356.608</c:v>
                </c:pt>
                <c:pt idx="4">
                  <c:v>392.56847058823536</c:v>
                </c:pt>
                <c:pt idx="5">
                  <c:v>392.56847058823536</c:v>
                </c:pt>
                <c:pt idx="6">
                  <c:v>416.54211764705883</c:v>
                </c:pt>
                <c:pt idx="7">
                  <c:v>425.5322352941177</c:v>
                </c:pt>
                <c:pt idx="8">
                  <c:v>419.53882352941184</c:v>
                </c:pt>
                <c:pt idx="9">
                  <c:v>404.55529411764707</c:v>
                </c:pt>
                <c:pt idx="10">
                  <c:v>365.59811764705887</c:v>
                </c:pt>
                <c:pt idx="11">
                  <c:v>311.6574117647059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079-4B6A-8CAD-13A9BDF756BD}"/>
            </c:ext>
          </c:extLst>
        </c:ser>
        <c:ser>
          <c:idx val="3"/>
          <c:order val="3"/>
          <c:tx>
            <c:v>4th</c:v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xVal>
            <c:numRef>
              <c:f>Inputs!$H$91:$H$103</c:f>
              <c:numCache>
                <c:formatCode>0.0</c:formatCode>
                <c:ptCount val="13"/>
                <c:pt idx="0">
                  <c:v>29.302310457803991</c:v>
                </c:pt>
                <c:pt idx="1">
                  <c:v>37.674399160033701</c:v>
                </c:pt>
                <c:pt idx="2">
                  <c:v>46.046487862263412</c:v>
                </c:pt>
                <c:pt idx="3">
                  <c:v>54.418576564493122</c:v>
                </c:pt>
                <c:pt idx="4">
                  <c:v>62.790665266722833</c:v>
                </c:pt>
                <c:pt idx="5">
                  <c:v>71.162753968952543</c:v>
                </c:pt>
                <c:pt idx="6">
                  <c:v>79.534842671182247</c:v>
                </c:pt>
                <c:pt idx="7">
                  <c:v>87.90693137341195</c:v>
                </c:pt>
                <c:pt idx="8">
                  <c:v>96.279020075641668</c:v>
                </c:pt>
                <c:pt idx="9">
                  <c:v>104.65110877787139</c:v>
                </c:pt>
                <c:pt idx="10">
                  <c:v>113.0231974801011</c:v>
                </c:pt>
                <c:pt idx="11">
                  <c:v>121.39528618233081</c:v>
                </c:pt>
                <c:pt idx="12">
                  <c:v>129.76737488456052</c:v>
                </c:pt>
              </c:numCache>
            </c:numRef>
          </c:xVal>
          <c:yVal>
            <c:numRef>
              <c:f>Inputs!$I$91:$I$103</c:f>
              <c:numCache>
                <c:formatCode>0</c:formatCode>
                <c:ptCount val="13"/>
                <c:pt idx="0">
                  <c:v>233.28000000000006</c:v>
                </c:pt>
                <c:pt idx="1">
                  <c:v>251.42400000000004</c:v>
                </c:pt>
                <c:pt idx="2">
                  <c:v>256.608</c:v>
                </c:pt>
                <c:pt idx="3">
                  <c:v>308.44800000000004</c:v>
                </c:pt>
                <c:pt idx="4">
                  <c:v>339.55200000000008</c:v>
                </c:pt>
                <c:pt idx="5">
                  <c:v>339.55200000000008</c:v>
                </c:pt>
                <c:pt idx="6">
                  <c:v>360.28800000000007</c:v>
                </c:pt>
                <c:pt idx="7">
                  <c:v>368.06400000000008</c:v>
                </c:pt>
                <c:pt idx="8">
                  <c:v>362.88000000000005</c:v>
                </c:pt>
                <c:pt idx="9">
                  <c:v>349.92</c:v>
                </c:pt>
                <c:pt idx="10">
                  <c:v>316.22400000000005</c:v>
                </c:pt>
                <c:pt idx="11">
                  <c:v>269.56800000000004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079-4B6A-8CAD-13A9BDF756BD}"/>
            </c:ext>
          </c:extLst>
        </c:ser>
        <c:ser>
          <c:idx val="4"/>
          <c:order val="4"/>
          <c:tx>
            <c:v>5th</c:v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xVal>
            <c:numRef>
              <c:f>Inputs!$J$91:$J$103</c:f>
              <c:numCache>
                <c:formatCode>0.0</c:formatCode>
                <c:ptCount val="13"/>
                <c:pt idx="0">
                  <c:v>33.90695924403034</c:v>
                </c:pt>
                <c:pt idx="1">
                  <c:v>43.594661885181864</c:v>
                </c:pt>
                <c:pt idx="2">
                  <c:v>53.282364526333382</c:v>
                </c:pt>
                <c:pt idx="3">
                  <c:v>62.970067167484892</c:v>
                </c:pt>
                <c:pt idx="4">
                  <c:v>72.657769808636431</c:v>
                </c:pt>
                <c:pt idx="5">
                  <c:v>82.345472449787962</c:v>
                </c:pt>
                <c:pt idx="6">
                  <c:v>92.03317509093948</c:v>
                </c:pt>
                <c:pt idx="7">
                  <c:v>101.72087773209101</c:v>
                </c:pt>
                <c:pt idx="8">
                  <c:v>111.40858037324253</c:v>
                </c:pt>
                <c:pt idx="9">
                  <c:v>121.09628301439405</c:v>
                </c:pt>
                <c:pt idx="10">
                  <c:v>130.78398565554556</c:v>
                </c:pt>
                <c:pt idx="11">
                  <c:v>140.4716882966971</c:v>
                </c:pt>
                <c:pt idx="12">
                  <c:v>150.1593909378486</c:v>
                </c:pt>
              </c:numCache>
            </c:numRef>
          </c:xVal>
          <c:yVal>
            <c:numRef>
              <c:f>Inputs!$K$91:$K$103</c:f>
              <c:numCache>
                <c:formatCode>0</c:formatCode>
                <c:ptCount val="13"/>
                <c:pt idx="0">
                  <c:v>201.6</c:v>
                </c:pt>
                <c:pt idx="1">
                  <c:v>217.28</c:v>
                </c:pt>
                <c:pt idx="2">
                  <c:v>221.76</c:v>
                </c:pt>
                <c:pt idx="3">
                  <c:v>266.56</c:v>
                </c:pt>
                <c:pt idx="4">
                  <c:v>293.44</c:v>
                </c:pt>
                <c:pt idx="5">
                  <c:v>293.44</c:v>
                </c:pt>
                <c:pt idx="6">
                  <c:v>311.36</c:v>
                </c:pt>
                <c:pt idx="7">
                  <c:v>318.08</c:v>
                </c:pt>
                <c:pt idx="8">
                  <c:v>313.60000000000002</c:v>
                </c:pt>
                <c:pt idx="9">
                  <c:v>302.39999999999998</c:v>
                </c:pt>
                <c:pt idx="10">
                  <c:v>273.27999999999997</c:v>
                </c:pt>
                <c:pt idx="11">
                  <c:v>232.96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079-4B6A-8CAD-13A9BDF756BD}"/>
            </c:ext>
          </c:extLst>
        </c:ser>
        <c:ser>
          <c:idx val="5"/>
          <c:order val="5"/>
          <c:tx>
            <c:v>6th</c:v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xVal>
            <c:numRef>
              <c:f>Inputs!$L$91:$L$103</c:f>
              <c:numCache>
                <c:formatCode>0.0</c:formatCode>
                <c:ptCount val="13"/>
                <c:pt idx="0">
                  <c:v>37.534215349205667</c:v>
                </c:pt>
                <c:pt idx="1">
                  <c:v>48.258276877550138</c:v>
                </c:pt>
                <c:pt idx="2">
                  <c:v>58.982338405894623</c:v>
                </c:pt>
                <c:pt idx="3">
                  <c:v>69.706399934239101</c:v>
                </c:pt>
                <c:pt idx="4">
                  <c:v>80.430461462583594</c:v>
                </c:pt>
                <c:pt idx="5">
                  <c:v>91.154522990928072</c:v>
                </c:pt>
                <c:pt idx="6">
                  <c:v>101.87858451927255</c:v>
                </c:pt>
                <c:pt idx="7">
                  <c:v>112.602646047617</c:v>
                </c:pt>
                <c:pt idx="8">
                  <c:v>123.32670757596149</c:v>
                </c:pt>
                <c:pt idx="9">
                  <c:v>134.05076910430597</c:v>
                </c:pt>
                <c:pt idx="10">
                  <c:v>144.77483063265043</c:v>
                </c:pt>
                <c:pt idx="11">
                  <c:v>155.49889216099493</c:v>
                </c:pt>
                <c:pt idx="12">
                  <c:v>166.22295368933939</c:v>
                </c:pt>
              </c:numCache>
            </c:numRef>
          </c:xVal>
          <c:yVal>
            <c:numRef>
              <c:f>Inputs!$M$91:$M$103</c:f>
              <c:numCache>
                <c:formatCode>0</c:formatCode>
                <c:ptCount val="13"/>
                <c:pt idx="0">
                  <c:v>182.11764705882354</c:v>
                </c:pt>
                <c:pt idx="1">
                  <c:v>196.28235294117647</c:v>
                </c:pt>
                <c:pt idx="2">
                  <c:v>200.32941176470587</c:v>
                </c:pt>
                <c:pt idx="3">
                  <c:v>240.79999999999998</c:v>
                </c:pt>
                <c:pt idx="4">
                  <c:v>265.08235294117645</c:v>
                </c:pt>
                <c:pt idx="5">
                  <c:v>265.08235294117645</c:v>
                </c:pt>
                <c:pt idx="6">
                  <c:v>281.2705882352941</c:v>
                </c:pt>
                <c:pt idx="7">
                  <c:v>287.34117647058821</c:v>
                </c:pt>
                <c:pt idx="8">
                  <c:v>283.29411764705884</c:v>
                </c:pt>
                <c:pt idx="9">
                  <c:v>273.17647058823525</c:v>
                </c:pt>
                <c:pt idx="10">
                  <c:v>246.87058823529412</c:v>
                </c:pt>
                <c:pt idx="11">
                  <c:v>210.44705882352943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079-4B6A-8CAD-13A9BDF756BD}"/>
            </c:ext>
          </c:extLst>
        </c:ser>
        <c:ser>
          <c:idx val="6"/>
          <c:order val="6"/>
          <c:tx>
            <c:strRef>
              <c:f>Inputs!$B$105</c:f>
              <c:strCache>
                <c:ptCount val="1"/>
                <c:pt idx="0">
                  <c:v>2002 RC51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Inputs!$B$107:$B$119</c:f>
              <c:numCache>
                <c:formatCode>0.0</c:formatCode>
                <c:ptCount val="13"/>
                <c:pt idx="0">
                  <c:v>20.775616537986302</c:v>
                </c:pt>
                <c:pt idx="1">
                  <c:v>26.711506977410952</c:v>
                </c:pt>
                <c:pt idx="2">
                  <c:v>32.647397416835616</c:v>
                </c:pt>
                <c:pt idx="3">
                  <c:v>38.58328785626027</c:v>
                </c:pt>
                <c:pt idx="4">
                  <c:v>44.519178295684931</c:v>
                </c:pt>
                <c:pt idx="5">
                  <c:v>50.455068735109592</c:v>
                </c:pt>
                <c:pt idx="6">
                  <c:v>56.390959174534245</c:v>
                </c:pt>
                <c:pt idx="7">
                  <c:v>62.326849613958906</c:v>
                </c:pt>
                <c:pt idx="8">
                  <c:v>68.262740053383553</c:v>
                </c:pt>
                <c:pt idx="9">
                  <c:v>74.198630492808206</c:v>
                </c:pt>
                <c:pt idx="10">
                  <c:v>80.13452093223286</c:v>
                </c:pt>
                <c:pt idx="11">
                  <c:v>86.070411371657542</c:v>
                </c:pt>
                <c:pt idx="12">
                  <c:v>92.006301811082182</c:v>
                </c:pt>
              </c:numCache>
            </c:numRef>
          </c:xVal>
          <c:yVal>
            <c:numRef>
              <c:f>Inputs!$C$107:$C$119</c:f>
              <c:numCache>
                <c:formatCode>0</c:formatCode>
                <c:ptCount val="13"/>
                <c:pt idx="0">
                  <c:v>680.14841109460122</c:v>
                </c:pt>
                <c:pt idx="1">
                  <c:v>647.32623576027731</c:v>
                </c:pt>
                <c:pt idx="2">
                  <c:v>756.73348687469036</c:v>
                </c:pt>
                <c:pt idx="3">
                  <c:v>796.84947894997515</c:v>
                </c:pt>
                <c:pt idx="4">
                  <c:v>838.78892521050022</c:v>
                </c:pt>
                <c:pt idx="5">
                  <c:v>855.20001287766218</c:v>
                </c:pt>
                <c:pt idx="6">
                  <c:v>809.61365824665666</c:v>
                </c:pt>
                <c:pt idx="7">
                  <c:v>729.38167409608707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079-4B6A-8CAD-13A9BDF756BD}"/>
            </c:ext>
          </c:extLst>
        </c:ser>
        <c:ser>
          <c:idx val="7"/>
          <c:order val="7"/>
          <c:tx>
            <c:v>2T</c:v>
          </c:tx>
          <c:spPr>
            <a:ln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Inputs!$D$107:$D$119</c:f>
              <c:numCache>
                <c:formatCode>0.0</c:formatCode>
                <c:ptCount val="13"/>
                <c:pt idx="0">
                  <c:v>30.28057575983544</c:v>
                </c:pt>
                <c:pt idx="1">
                  <c:v>38.93216883407414</c:v>
                </c:pt>
                <c:pt idx="2">
                  <c:v>47.58376190831283</c:v>
                </c:pt>
                <c:pt idx="3">
                  <c:v>56.23535498255152</c:v>
                </c:pt>
                <c:pt idx="4">
                  <c:v>64.886948056790231</c:v>
                </c:pt>
                <c:pt idx="5">
                  <c:v>73.538541131028921</c:v>
                </c:pt>
                <c:pt idx="6">
                  <c:v>82.190134205267626</c:v>
                </c:pt>
                <c:pt idx="7">
                  <c:v>90.841727279506316</c:v>
                </c:pt>
                <c:pt idx="8">
                  <c:v>99.493320353744991</c:v>
                </c:pt>
                <c:pt idx="9">
                  <c:v>108.14491342798372</c:v>
                </c:pt>
                <c:pt idx="10">
                  <c:v>116.79650650222243</c:v>
                </c:pt>
                <c:pt idx="11">
                  <c:v>125.44809957646112</c:v>
                </c:pt>
                <c:pt idx="12">
                  <c:v>134.09969265069981</c:v>
                </c:pt>
              </c:numCache>
            </c:numRef>
          </c:xVal>
          <c:yVal>
            <c:numRef>
              <c:f>Inputs!$E$107:$E$119</c:f>
              <c:numCache>
                <c:formatCode>0</c:formatCode>
                <c:ptCount val="13"/>
                <c:pt idx="0">
                  <c:v>466.65237444279342</c:v>
                </c:pt>
                <c:pt idx="1">
                  <c:v>444.13295690936104</c:v>
                </c:pt>
                <c:pt idx="2">
                  <c:v>519.19768202080229</c:v>
                </c:pt>
                <c:pt idx="3">
                  <c:v>546.72141456166412</c:v>
                </c:pt>
                <c:pt idx="4">
                  <c:v>575.4962258543834</c:v>
                </c:pt>
                <c:pt idx="5">
                  <c:v>586.75593462109953</c:v>
                </c:pt>
                <c:pt idx="6">
                  <c:v>555.47896582466558</c:v>
                </c:pt>
                <c:pt idx="7">
                  <c:v>500.43150074294203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079-4B6A-8CAD-13A9BDF756BD}"/>
            </c:ext>
          </c:extLst>
        </c:ser>
        <c:ser>
          <c:idx val="8"/>
          <c:order val="8"/>
          <c:tx>
            <c:v>3T</c:v>
          </c:tx>
          <c:spPr>
            <a:ln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Inputs!$F$107:$F$119</c:f>
              <c:numCache>
                <c:formatCode>0.0</c:formatCode>
                <c:ptCount val="13"/>
                <c:pt idx="0">
                  <c:v>38.423251594413031</c:v>
                </c:pt>
                <c:pt idx="1">
                  <c:v>49.401323478531047</c:v>
                </c:pt>
                <c:pt idx="2">
                  <c:v>60.379395362649063</c:v>
                </c:pt>
                <c:pt idx="3">
                  <c:v>71.357467246767072</c:v>
                </c:pt>
                <c:pt idx="4">
                  <c:v>82.33553913088511</c:v>
                </c:pt>
                <c:pt idx="5">
                  <c:v>93.31361101500309</c:v>
                </c:pt>
                <c:pt idx="6">
                  <c:v>104.2916828991211</c:v>
                </c:pt>
                <c:pt idx="7">
                  <c:v>115.26975478323912</c:v>
                </c:pt>
                <c:pt idx="8">
                  <c:v>126.24782666735712</c:v>
                </c:pt>
                <c:pt idx="9">
                  <c:v>137.22589855147513</c:v>
                </c:pt>
                <c:pt idx="10">
                  <c:v>148.20397043559313</c:v>
                </c:pt>
                <c:pt idx="11">
                  <c:v>159.18204231971114</c:v>
                </c:pt>
                <c:pt idx="12">
                  <c:v>170.16011420382921</c:v>
                </c:pt>
              </c:numCache>
            </c:numRef>
          </c:xVal>
          <c:yVal>
            <c:numRef>
              <c:f>Inputs!$G$107:$G$119</c:f>
              <c:numCache>
                <c:formatCode>0</c:formatCode>
                <c:ptCount val="13"/>
                <c:pt idx="0">
                  <c:v>367.75915601783055</c:v>
                </c:pt>
                <c:pt idx="1">
                  <c:v>350.01206537890045</c:v>
                </c:pt>
                <c:pt idx="2">
                  <c:v>409.16903417533428</c:v>
                </c:pt>
                <c:pt idx="3">
                  <c:v>430.85992273402672</c:v>
                </c:pt>
                <c:pt idx="4">
                  <c:v>453.5367607726597</c:v>
                </c:pt>
                <c:pt idx="5">
                  <c:v>462.41030609212476</c:v>
                </c:pt>
                <c:pt idx="6">
                  <c:v>437.76156909361066</c:v>
                </c:pt>
                <c:pt idx="7">
                  <c:v>394.37979197622582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079-4B6A-8CAD-13A9BDF756BD}"/>
            </c:ext>
          </c:extLst>
        </c:ser>
        <c:ser>
          <c:idx val="9"/>
          <c:order val="9"/>
          <c:tx>
            <c:v>4T</c:v>
          </c:tx>
          <c:spPr>
            <a:ln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Inputs!$H$107:$H$119</c:f>
              <c:numCache>
                <c:formatCode>0.0</c:formatCode>
                <c:ptCount val="13"/>
                <c:pt idx="0">
                  <c:v>44.248712320017596</c:v>
                </c:pt>
                <c:pt idx="1">
                  <c:v>56.891201554308317</c:v>
                </c:pt>
                <c:pt idx="2">
                  <c:v>69.533690788599074</c:v>
                </c:pt>
                <c:pt idx="3">
                  <c:v>82.17618002288981</c:v>
                </c:pt>
                <c:pt idx="4">
                  <c:v>94.818669257180559</c:v>
                </c:pt>
                <c:pt idx="5">
                  <c:v>107.46115849147128</c:v>
                </c:pt>
                <c:pt idx="6">
                  <c:v>120.10364772576203</c:v>
                </c:pt>
                <c:pt idx="7">
                  <c:v>132.74613696005278</c:v>
                </c:pt>
                <c:pt idx="8">
                  <c:v>145.38862619434352</c:v>
                </c:pt>
                <c:pt idx="9">
                  <c:v>158.03111542863422</c:v>
                </c:pt>
                <c:pt idx="10">
                  <c:v>170.67360466292502</c:v>
                </c:pt>
                <c:pt idx="11">
                  <c:v>183.31609389721578</c:v>
                </c:pt>
                <c:pt idx="12">
                  <c:v>195.95858313150651</c:v>
                </c:pt>
              </c:numCache>
            </c:numRef>
          </c:xVal>
          <c:yVal>
            <c:numRef>
              <c:f>Inputs!$I$107:$I$119</c:f>
              <c:numCache>
                <c:formatCode>0</c:formatCode>
                <c:ptCount val="13"/>
                <c:pt idx="0">
                  <c:v>319.34268449727585</c:v>
                </c:pt>
                <c:pt idx="1">
                  <c:v>303.93204556711243</c:v>
                </c:pt>
                <c:pt idx="2">
                  <c:v>355.3008420009906</c:v>
                </c:pt>
                <c:pt idx="3">
                  <c:v>374.13606736007927</c:v>
                </c:pt>
                <c:pt idx="4">
                  <c:v>393.82743932639926</c:v>
                </c:pt>
                <c:pt idx="5">
                  <c:v>401.53275879148094</c:v>
                </c:pt>
                <c:pt idx="6">
                  <c:v>380.12909361069836</c:v>
                </c:pt>
                <c:pt idx="7">
                  <c:v>342.45864289252103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079-4B6A-8CAD-13A9BDF756BD}"/>
            </c:ext>
          </c:extLst>
        </c:ser>
        <c:ser>
          <c:idx val="10"/>
          <c:order val="10"/>
          <c:tx>
            <c:v>5T</c:v>
          </c:tx>
          <c:spPr>
            <a:ln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Inputs!$J$107:$J$119</c:f>
              <c:numCache>
                <c:formatCode>0.0</c:formatCode>
                <c:ptCount val="13"/>
                <c:pt idx="0">
                  <c:v>50.804077108168336</c:v>
                </c:pt>
                <c:pt idx="1">
                  <c:v>65.319527710502172</c:v>
                </c:pt>
                <c:pt idx="2">
                  <c:v>79.834978312835972</c:v>
                </c:pt>
                <c:pt idx="3">
                  <c:v>94.350428915169772</c:v>
                </c:pt>
                <c:pt idx="4">
                  <c:v>108.8658795175036</c:v>
                </c:pt>
                <c:pt idx="5">
                  <c:v>123.3813301198374</c:v>
                </c:pt>
                <c:pt idx="6">
                  <c:v>137.89678072217123</c:v>
                </c:pt>
                <c:pt idx="7">
                  <c:v>152.41223132450503</c:v>
                </c:pt>
                <c:pt idx="8">
                  <c:v>166.92768192683883</c:v>
                </c:pt>
                <c:pt idx="9">
                  <c:v>181.44313252917263</c:v>
                </c:pt>
                <c:pt idx="10">
                  <c:v>195.95858313150649</c:v>
                </c:pt>
                <c:pt idx="11">
                  <c:v>210.47403373384032</c:v>
                </c:pt>
                <c:pt idx="12">
                  <c:v>224.98948433617412</c:v>
                </c:pt>
              </c:numCache>
            </c:numRef>
          </c:xVal>
          <c:yVal>
            <c:numRef>
              <c:f>Inputs!$K$107:$K$119</c:f>
              <c:numCache>
                <c:formatCode>0</c:formatCode>
                <c:ptCount val="13"/>
                <c:pt idx="0">
                  <c:v>278.13717682020803</c:v>
                </c:pt>
                <c:pt idx="1">
                  <c:v>264.71500742942055</c:v>
                </c:pt>
                <c:pt idx="2">
                  <c:v>309.45557206537893</c:v>
                </c:pt>
                <c:pt idx="3">
                  <c:v>325.86044576523034</c:v>
                </c:pt>
                <c:pt idx="4">
                  <c:v>343.01099554234776</c:v>
                </c:pt>
                <c:pt idx="5">
                  <c:v>349.72208023774147</c:v>
                </c:pt>
                <c:pt idx="6">
                  <c:v>331.08017830609214</c:v>
                </c:pt>
                <c:pt idx="7">
                  <c:v>298.27043090638932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079-4B6A-8CAD-13A9BDF756BD}"/>
            </c:ext>
          </c:extLst>
        </c:ser>
        <c:ser>
          <c:idx val="11"/>
          <c:order val="11"/>
          <c:tx>
            <c:v>6T</c:v>
          </c:tx>
          <c:spPr>
            <a:ln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Inputs!$L$107:$L$119</c:f>
              <c:numCache>
                <c:formatCode>0.0</c:formatCode>
                <c:ptCount val="13"/>
                <c:pt idx="0">
                  <c:v>57.035762242018521</c:v>
                </c:pt>
                <c:pt idx="1">
                  <c:v>73.331694311166672</c:v>
                </c:pt>
                <c:pt idx="2">
                  <c:v>89.627626380314823</c:v>
                </c:pt>
                <c:pt idx="3">
                  <c:v>105.92355844946296</c:v>
                </c:pt>
                <c:pt idx="4">
                  <c:v>122.2194905186111</c:v>
                </c:pt>
                <c:pt idx="5">
                  <c:v>138.51542258775925</c:v>
                </c:pt>
                <c:pt idx="6">
                  <c:v>154.81135465690741</c:v>
                </c:pt>
                <c:pt idx="7">
                  <c:v>171.10728672605552</c:v>
                </c:pt>
                <c:pt idx="8">
                  <c:v>187.40321879520368</c:v>
                </c:pt>
                <c:pt idx="9">
                  <c:v>203.69915086435182</c:v>
                </c:pt>
                <c:pt idx="10">
                  <c:v>219.99508293349999</c:v>
                </c:pt>
                <c:pt idx="11">
                  <c:v>236.29101500264812</c:v>
                </c:pt>
                <c:pt idx="12">
                  <c:v>252.58694707179629</c:v>
                </c:pt>
              </c:numCache>
            </c:numRef>
          </c:xVal>
          <c:yVal>
            <c:numRef>
              <c:f>Inputs!$M$107:$M$119</c:f>
              <c:numCache>
                <c:formatCode>0</c:formatCode>
                <c:ptCount val="13"/>
                <c:pt idx="0">
                  <c:v>247.74811490837047</c:v>
                </c:pt>
                <c:pt idx="1">
                  <c:v>235.79244180287273</c:v>
                </c:pt>
                <c:pt idx="2">
                  <c:v>275.64468548786527</c:v>
                </c:pt>
                <c:pt idx="3">
                  <c:v>290.25717483902923</c:v>
                </c:pt>
                <c:pt idx="4">
                  <c:v>305.5338682516097</c:v>
                </c:pt>
                <c:pt idx="5">
                  <c:v>311.5117048043586</c:v>
                </c:pt>
                <c:pt idx="6">
                  <c:v>294.90660326894499</c:v>
                </c:pt>
                <c:pt idx="7">
                  <c:v>265.68162456661713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079-4B6A-8CAD-13A9BDF75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64928"/>
        <c:axId val="57166464"/>
      </c:scatterChart>
      <c:valAx>
        <c:axId val="57164928"/>
        <c:scaling>
          <c:orientation val="minMax"/>
          <c:max val="18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57166464"/>
        <c:crosses val="autoZero"/>
        <c:crossBetween val="midCat"/>
        <c:majorUnit val="10"/>
      </c:valAx>
      <c:valAx>
        <c:axId val="57166464"/>
        <c:scaling>
          <c:orientation val="minMax"/>
          <c:min val="2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7164928"/>
        <c:crosses val="autoZero"/>
        <c:crossBetween val="midCat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overlay val="1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2"/>
          <c:order val="6"/>
          <c:tx>
            <c:strRef>
              <c:f>Inputs!$B$73</c:f>
              <c:strCache>
                <c:ptCount val="1"/>
                <c:pt idx="0">
                  <c:v>R6 Track (50T)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Inputs!$B$75:$B$87</c:f>
              <c:numCache>
                <c:formatCode>0.0</c:formatCode>
                <c:ptCount val="13"/>
                <c:pt idx="0">
                  <c:v>13.92372306638662</c:v>
                </c:pt>
                <c:pt idx="1">
                  <c:v>17.901929656782798</c:v>
                </c:pt>
                <c:pt idx="2">
                  <c:v>21.880136247178974</c:v>
                </c:pt>
                <c:pt idx="3">
                  <c:v>25.858342837575155</c:v>
                </c:pt>
                <c:pt idx="4">
                  <c:v>29.836549427971331</c:v>
                </c:pt>
                <c:pt idx="5">
                  <c:v>33.814756018367504</c:v>
                </c:pt>
                <c:pt idx="6">
                  <c:v>37.792962608763681</c:v>
                </c:pt>
                <c:pt idx="7">
                  <c:v>41.771169199159864</c:v>
                </c:pt>
                <c:pt idx="8">
                  <c:v>45.749375789556041</c:v>
                </c:pt>
                <c:pt idx="9">
                  <c:v>49.727582379952224</c:v>
                </c:pt>
                <c:pt idx="10">
                  <c:v>53.705788970348394</c:v>
                </c:pt>
                <c:pt idx="11">
                  <c:v>57.68399556074457</c:v>
                </c:pt>
                <c:pt idx="12">
                  <c:v>61.662202151140747</c:v>
                </c:pt>
              </c:numCache>
            </c:numRef>
          </c:xVal>
          <c:yVal>
            <c:numRef>
              <c:f>Inputs!$C$75:$C$87</c:f>
              <c:numCache>
                <c:formatCode>0</c:formatCode>
                <c:ptCount val="13"/>
                <c:pt idx="0">
                  <c:v>413.23618037135276</c:v>
                </c:pt>
                <c:pt idx="1">
                  <c:v>546.06209549071616</c:v>
                </c:pt>
                <c:pt idx="2">
                  <c:v>619.85427055702905</c:v>
                </c:pt>
                <c:pt idx="3">
                  <c:v>649.37114058355439</c:v>
                </c:pt>
                <c:pt idx="4">
                  <c:v>678.88801061007962</c:v>
                </c:pt>
                <c:pt idx="5">
                  <c:v>693.64644562334217</c:v>
                </c:pt>
                <c:pt idx="6">
                  <c:v>811.71392572944285</c:v>
                </c:pt>
                <c:pt idx="7">
                  <c:v>826.47236074270552</c:v>
                </c:pt>
                <c:pt idx="8">
                  <c:v>831.3918390804597</c:v>
                </c:pt>
                <c:pt idx="9">
                  <c:v>831.3918390804597</c:v>
                </c:pt>
                <c:pt idx="10">
                  <c:v>782.19705570291774</c:v>
                </c:pt>
                <c:pt idx="11">
                  <c:v>698.56592396109636</c:v>
                </c:pt>
                <c:pt idx="12">
                  <c:v>624.77374889478335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8B-47C1-8081-E3AC36156DD2}"/>
            </c:ext>
          </c:extLst>
        </c:ser>
        <c:ser>
          <c:idx val="13"/>
          <c:order val="7"/>
          <c:tx>
            <c:v>2R6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Inputs!$D$75:$D$87</c:f>
              <c:numCache>
                <c:formatCode>0.0</c:formatCode>
                <c:ptCount val="13"/>
                <c:pt idx="0">
                  <c:v>20.352807317378694</c:v>
                </c:pt>
                <c:pt idx="1">
                  <c:v>26.167895122344035</c:v>
                </c:pt>
                <c:pt idx="2">
                  <c:v>31.982982927309379</c:v>
                </c:pt>
                <c:pt idx="3">
                  <c:v>37.798070732274724</c:v>
                </c:pt>
                <c:pt idx="4">
                  <c:v>43.613158537240047</c:v>
                </c:pt>
                <c:pt idx="5">
                  <c:v>49.428246342205384</c:v>
                </c:pt>
                <c:pt idx="6">
                  <c:v>55.243334147170742</c:v>
                </c:pt>
                <c:pt idx="7">
                  <c:v>61.058421952136079</c:v>
                </c:pt>
                <c:pt idx="8">
                  <c:v>66.873509757101431</c:v>
                </c:pt>
                <c:pt idx="9">
                  <c:v>72.688597562066761</c:v>
                </c:pt>
                <c:pt idx="10">
                  <c:v>78.503685367032105</c:v>
                </c:pt>
                <c:pt idx="11">
                  <c:v>84.318773171997449</c:v>
                </c:pt>
                <c:pt idx="12">
                  <c:v>90.133860976962794</c:v>
                </c:pt>
              </c:numCache>
            </c:numRef>
          </c:xVal>
          <c:yVal>
            <c:numRef>
              <c:f>Inputs!$E$75:$E$87</c:f>
              <c:numCache>
                <c:formatCode>0</c:formatCode>
                <c:ptCount val="13"/>
                <c:pt idx="0">
                  <c:v>282.70233421750663</c:v>
                </c:pt>
                <c:pt idx="1">
                  <c:v>373.57094164456237</c:v>
                </c:pt>
                <c:pt idx="2">
                  <c:v>424.05350132625995</c:v>
                </c:pt>
                <c:pt idx="3">
                  <c:v>444.24652519893908</c:v>
                </c:pt>
                <c:pt idx="4">
                  <c:v>464.4395490716181</c:v>
                </c:pt>
                <c:pt idx="5">
                  <c:v>474.53606100795758</c:v>
                </c:pt>
                <c:pt idx="6">
                  <c:v>555.30815649867372</c:v>
                </c:pt>
                <c:pt idx="7">
                  <c:v>565.40466843501326</c:v>
                </c:pt>
                <c:pt idx="8">
                  <c:v>568.77017241379303</c:v>
                </c:pt>
                <c:pt idx="9">
                  <c:v>568.77017241379303</c:v>
                </c:pt>
                <c:pt idx="10">
                  <c:v>535.11513262599465</c:v>
                </c:pt>
                <c:pt idx="11">
                  <c:v>477.90156498673747</c:v>
                </c:pt>
                <c:pt idx="12">
                  <c:v>427.41900530503983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8B-47C1-8081-E3AC36156DD2}"/>
            </c:ext>
          </c:extLst>
        </c:ser>
        <c:ser>
          <c:idx val="14"/>
          <c:order val="8"/>
          <c:tx>
            <c:v>3R6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Inputs!$F$75:$F$87</c:f>
              <c:numCache>
                <c:formatCode>0.0</c:formatCode>
                <c:ptCount val="13"/>
                <c:pt idx="0">
                  <c:v>25.467169567439797</c:v>
                </c:pt>
                <c:pt idx="1">
                  <c:v>32.743503729565447</c:v>
                </c:pt>
                <c:pt idx="2">
                  <c:v>40.019837891691104</c:v>
                </c:pt>
                <c:pt idx="3">
                  <c:v>47.296172053816761</c:v>
                </c:pt>
                <c:pt idx="4">
                  <c:v>54.572506215942411</c:v>
                </c:pt>
                <c:pt idx="5">
                  <c:v>61.848840378068068</c:v>
                </c:pt>
                <c:pt idx="6">
                  <c:v>69.125174540193726</c:v>
                </c:pt>
                <c:pt idx="7">
                  <c:v>76.401508702319362</c:v>
                </c:pt>
                <c:pt idx="8">
                  <c:v>83.677842864445026</c:v>
                </c:pt>
                <c:pt idx="9">
                  <c:v>90.954177026570676</c:v>
                </c:pt>
                <c:pt idx="10">
                  <c:v>98.23051118869634</c:v>
                </c:pt>
                <c:pt idx="11">
                  <c:v>105.506845350822</c:v>
                </c:pt>
                <c:pt idx="12">
                  <c:v>112.78317951294765</c:v>
                </c:pt>
              </c:numCache>
            </c:numRef>
          </c:xVal>
          <c:yVal>
            <c:numRef>
              <c:f>Inputs!$G$75:$G$87</c:f>
              <c:numCache>
                <c:formatCode>0</c:formatCode>
                <c:ptCount val="13"/>
                <c:pt idx="0">
                  <c:v>225.92954907161803</c:v>
                </c:pt>
                <c:pt idx="1">
                  <c:v>298.54976127320958</c:v>
                </c:pt>
                <c:pt idx="2">
                  <c:v>338.894323607427</c:v>
                </c:pt>
                <c:pt idx="3">
                  <c:v>355.03214854111411</c:v>
                </c:pt>
                <c:pt idx="4">
                  <c:v>371.16997347480111</c:v>
                </c:pt>
                <c:pt idx="5">
                  <c:v>379.23888594164453</c:v>
                </c:pt>
                <c:pt idx="6">
                  <c:v>443.79018567639253</c:v>
                </c:pt>
                <c:pt idx="7">
                  <c:v>451.85909814323605</c:v>
                </c:pt>
                <c:pt idx="8">
                  <c:v>454.54873563218388</c:v>
                </c:pt>
                <c:pt idx="9">
                  <c:v>454.54873563218388</c:v>
                </c:pt>
                <c:pt idx="10">
                  <c:v>427.65236074270553</c:v>
                </c:pt>
                <c:pt idx="11">
                  <c:v>381.92852343059241</c:v>
                </c:pt>
                <c:pt idx="12">
                  <c:v>341.58396109637488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8B-47C1-8081-E3AC36156DD2}"/>
            </c:ext>
          </c:extLst>
        </c:ser>
        <c:ser>
          <c:idx val="15"/>
          <c:order val="9"/>
          <c:tx>
            <c:v>4R6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Inputs!$H$75:$H$87</c:f>
              <c:numCache>
                <c:formatCode>0.0</c:formatCode>
                <c:ptCount val="13"/>
                <c:pt idx="0">
                  <c:v>29.727618789899708</c:v>
                </c:pt>
                <c:pt idx="1">
                  <c:v>38.221224158442489</c:v>
                </c:pt>
                <c:pt idx="2">
                  <c:v>46.714829526985262</c:v>
                </c:pt>
                <c:pt idx="3">
                  <c:v>55.208434895528029</c:v>
                </c:pt>
                <c:pt idx="4">
                  <c:v>63.702040264070803</c:v>
                </c:pt>
                <c:pt idx="5">
                  <c:v>72.195645632613591</c:v>
                </c:pt>
                <c:pt idx="6">
                  <c:v>80.68925100115635</c:v>
                </c:pt>
                <c:pt idx="7">
                  <c:v>89.182856369699124</c:v>
                </c:pt>
                <c:pt idx="8">
                  <c:v>97.676461738241912</c:v>
                </c:pt>
                <c:pt idx="9">
                  <c:v>106.17006710678469</c:v>
                </c:pt>
                <c:pt idx="10">
                  <c:v>114.66367247532746</c:v>
                </c:pt>
                <c:pt idx="11">
                  <c:v>123.15727784387026</c:v>
                </c:pt>
                <c:pt idx="12">
                  <c:v>131.65088321241299</c:v>
                </c:pt>
              </c:numCache>
            </c:numRef>
          </c:xVal>
          <c:yVal>
            <c:numRef>
              <c:f>Inputs!$I$75:$I$87</c:f>
              <c:numCache>
                <c:formatCode>0</c:formatCode>
                <c:ptCount val="13"/>
                <c:pt idx="0">
                  <c:v>193.55018567639257</c:v>
                </c:pt>
                <c:pt idx="1">
                  <c:v>255.76274535809023</c:v>
                </c:pt>
                <c:pt idx="2">
                  <c:v>290.32527851458883</c:v>
                </c:pt>
                <c:pt idx="3">
                  <c:v>304.15029177718839</c:v>
                </c:pt>
                <c:pt idx="4">
                  <c:v>317.97530503978783</c:v>
                </c:pt>
                <c:pt idx="5">
                  <c:v>324.88781167108755</c:v>
                </c:pt>
                <c:pt idx="6">
                  <c:v>380.18786472148543</c:v>
                </c:pt>
                <c:pt idx="7">
                  <c:v>387.10037135278515</c:v>
                </c:pt>
                <c:pt idx="8">
                  <c:v>389.40454022988507</c:v>
                </c:pt>
                <c:pt idx="9">
                  <c:v>389.40454022988507</c:v>
                </c:pt>
                <c:pt idx="10">
                  <c:v>366.36285145888593</c:v>
                </c:pt>
                <c:pt idx="11">
                  <c:v>327.19198054818747</c:v>
                </c:pt>
                <c:pt idx="12">
                  <c:v>292.62944739168881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78B-47C1-8081-E3AC36156DD2}"/>
            </c:ext>
          </c:extLst>
        </c:ser>
        <c:ser>
          <c:idx val="16"/>
          <c:order val="10"/>
          <c:tx>
            <c:v>5R6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Inputs!$J$75:$J$87</c:f>
              <c:numCache>
                <c:formatCode>0.0</c:formatCode>
                <c:ptCount val="13"/>
                <c:pt idx="0">
                  <c:v>33.299929283139761</c:v>
                </c:pt>
                <c:pt idx="1">
                  <c:v>42.814194792608262</c:v>
                </c:pt>
                <c:pt idx="2">
                  <c:v>52.328460302076778</c:v>
                </c:pt>
                <c:pt idx="3">
                  <c:v>61.842725811545286</c:v>
                </c:pt>
                <c:pt idx="4">
                  <c:v>71.35699132101378</c:v>
                </c:pt>
                <c:pt idx="5">
                  <c:v>80.871256830482281</c:v>
                </c:pt>
                <c:pt idx="6">
                  <c:v>90.385522339950782</c:v>
                </c:pt>
                <c:pt idx="7">
                  <c:v>99.899787849419312</c:v>
                </c:pt>
                <c:pt idx="8">
                  <c:v>109.4140533588878</c:v>
                </c:pt>
                <c:pt idx="9">
                  <c:v>118.9283188683563</c:v>
                </c:pt>
                <c:pt idx="10">
                  <c:v>128.44258437782483</c:v>
                </c:pt>
                <c:pt idx="11">
                  <c:v>137.95684988729332</c:v>
                </c:pt>
                <c:pt idx="12">
                  <c:v>147.4711153967618</c:v>
                </c:pt>
              </c:numCache>
            </c:numRef>
          </c:xVal>
          <c:yVal>
            <c:numRef>
              <c:f>Inputs!$K$75:$K$87</c:f>
              <c:numCache>
                <c:formatCode>0</c:formatCode>
                <c:ptCount val="13"/>
                <c:pt idx="0">
                  <c:v>172.78673740053048</c:v>
                </c:pt>
                <c:pt idx="1">
                  <c:v>228.32533156498673</c:v>
                </c:pt>
                <c:pt idx="2">
                  <c:v>259.18010610079574</c:v>
                </c:pt>
                <c:pt idx="3">
                  <c:v>271.52201591511937</c:v>
                </c:pt>
                <c:pt idx="4">
                  <c:v>283.863925729443</c:v>
                </c:pt>
                <c:pt idx="5">
                  <c:v>290.03488063660473</c:v>
                </c:pt>
                <c:pt idx="6">
                  <c:v>339.40251989389918</c:v>
                </c:pt>
                <c:pt idx="7">
                  <c:v>345.57347480106097</c:v>
                </c:pt>
                <c:pt idx="8">
                  <c:v>347.6304597701149</c:v>
                </c:pt>
                <c:pt idx="9">
                  <c:v>347.6304597701149</c:v>
                </c:pt>
                <c:pt idx="10">
                  <c:v>327.06061007957555</c:v>
                </c:pt>
                <c:pt idx="11">
                  <c:v>292.09186560565871</c:v>
                </c:pt>
                <c:pt idx="12">
                  <c:v>261.23709106984967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78B-47C1-8081-E3AC36156DD2}"/>
            </c:ext>
          </c:extLst>
        </c:ser>
        <c:ser>
          <c:idx val="17"/>
          <c:order val="11"/>
          <c:tx>
            <c:v>6R6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Inputs!$L$75:$L$87</c:f>
              <c:numCache>
                <c:formatCode>0.0</c:formatCode>
                <c:ptCount val="13"/>
                <c:pt idx="0">
                  <c:v>36.589949997171118</c:v>
                </c:pt>
                <c:pt idx="1">
                  <c:v>47.044221424934285</c:v>
                </c:pt>
                <c:pt idx="2">
                  <c:v>57.498492852697467</c:v>
                </c:pt>
                <c:pt idx="3">
                  <c:v>67.952764280460642</c:v>
                </c:pt>
                <c:pt idx="4">
                  <c:v>78.407035708223816</c:v>
                </c:pt>
                <c:pt idx="5">
                  <c:v>88.861307135986991</c:v>
                </c:pt>
                <c:pt idx="6">
                  <c:v>99.315578563750137</c:v>
                </c:pt>
                <c:pt idx="7">
                  <c:v>109.76984999151333</c:v>
                </c:pt>
                <c:pt idx="8">
                  <c:v>120.22412141927653</c:v>
                </c:pt>
                <c:pt idx="9">
                  <c:v>130.67839284703967</c:v>
                </c:pt>
                <c:pt idx="10">
                  <c:v>141.13266427480286</c:v>
                </c:pt>
                <c:pt idx="11">
                  <c:v>151.58693570256602</c:v>
                </c:pt>
                <c:pt idx="12">
                  <c:v>162.04120713032921</c:v>
                </c:pt>
              </c:numCache>
            </c:numRef>
          </c:xVal>
          <c:yVal>
            <c:numRef>
              <c:f>Inputs!$M$75:$M$87</c:f>
              <c:numCache>
                <c:formatCode>0</c:formatCode>
                <c:ptCount val="13"/>
                <c:pt idx="0">
                  <c:v>157.25045092838198</c:v>
                </c:pt>
                <c:pt idx="1">
                  <c:v>207.79523872679047</c:v>
                </c:pt>
                <c:pt idx="2">
                  <c:v>235.87567639257296</c:v>
                </c:pt>
                <c:pt idx="3">
                  <c:v>247.10785145888599</c:v>
                </c:pt>
                <c:pt idx="4">
                  <c:v>258.34002652519899</c:v>
                </c:pt>
                <c:pt idx="5">
                  <c:v>263.95611405835547</c:v>
                </c:pt>
                <c:pt idx="6">
                  <c:v>308.88481432360743</c:v>
                </c:pt>
                <c:pt idx="7">
                  <c:v>314.50090185676396</c:v>
                </c:pt>
                <c:pt idx="8">
                  <c:v>316.37293103448275</c:v>
                </c:pt>
                <c:pt idx="9">
                  <c:v>316.37293103448275</c:v>
                </c:pt>
                <c:pt idx="10">
                  <c:v>297.65263925729442</c:v>
                </c:pt>
                <c:pt idx="11">
                  <c:v>265.82814323607431</c:v>
                </c:pt>
                <c:pt idx="12">
                  <c:v>237.7477055702918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78B-47C1-8081-E3AC36156DD2}"/>
            </c:ext>
          </c:extLst>
        </c:ser>
        <c:ser>
          <c:idx val="6"/>
          <c:order val="0"/>
          <c:tx>
            <c:strRef>
              <c:f>Inputs!$B$105</c:f>
              <c:strCache>
                <c:ptCount val="1"/>
                <c:pt idx="0">
                  <c:v>2002 RC51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Inputs!$B$107:$B$119</c:f>
              <c:numCache>
                <c:formatCode>0.0</c:formatCode>
                <c:ptCount val="13"/>
                <c:pt idx="0">
                  <c:v>20.775616537986302</c:v>
                </c:pt>
                <c:pt idx="1">
                  <c:v>26.711506977410952</c:v>
                </c:pt>
                <c:pt idx="2">
                  <c:v>32.647397416835616</c:v>
                </c:pt>
                <c:pt idx="3">
                  <c:v>38.58328785626027</c:v>
                </c:pt>
                <c:pt idx="4">
                  <c:v>44.519178295684931</c:v>
                </c:pt>
                <c:pt idx="5">
                  <c:v>50.455068735109592</c:v>
                </c:pt>
                <c:pt idx="6">
                  <c:v>56.390959174534245</c:v>
                </c:pt>
                <c:pt idx="7">
                  <c:v>62.326849613958906</c:v>
                </c:pt>
                <c:pt idx="8">
                  <c:v>68.262740053383553</c:v>
                </c:pt>
                <c:pt idx="9">
                  <c:v>74.198630492808206</c:v>
                </c:pt>
                <c:pt idx="10">
                  <c:v>80.13452093223286</c:v>
                </c:pt>
                <c:pt idx="11">
                  <c:v>86.070411371657542</c:v>
                </c:pt>
                <c:pt idx="12">
                  <c:v>92.006301811082182</c:v>
                </c:pt>
              </c:numCache>
            </c:numRef>
          </c:xVal>
          <c:yVal>
            <c:numRef>
              <c:f>Inputs!$C$107:$C$119</c:f>
              <c:numCache>
                <c:formatCode>0</c:formatCode>
                <c:ptCount val="13"/>
                <c:pt idx="0">
                  <c:v>680.14841109460122</c:v>
                </c:pt>
                <c:pt idx="1">
                  <c:v>647.32623576027731</c:v>
                </c:pt>
                <c:pt idx="2">
                  <c:v>756.73348687469036</c:v>
                </c:pt>
                <c:pt idx="3">
                  <c:v>796.84947894997515</c:v>
                </c:pt>
                <c:pt idx="4">
                  <c:v>838.78892521050022</c:v>
                </c:pt>
                <c:pt idx="5">
                  <c:v>855.20001287766218</c:v>
                </c:pt>
                <c:pt idx="6">
                  <c:v>809.61365824665666</c:v>
                </c:pt>
                <c:pt idx="7">
                  <c:v>729.38167409608707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78B-47C1-8081-E3AC36156DD2}"/>
            </c:ext>
          </c:extLst>
        </c:ser>
        <c:ser>
          <c:idx val="7"/>
          <c:order val="1"/>
          <c:tx>
            <c:v>2T</c:v>
          </c:tx>
          <c:spPr>
            <a:ln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Inputs!$D$107:$D$119</c:f>
              <c:numCache>
                <c:formatCode>0.0</c:formatCode>
                <c:ptCount val="13"/>
                <c:pt idx="0">
                  <c:v>30.28057575983544</c:v>
                </c:pt>
                <c:pt idx="1">
                  <c:v>38.93216883407414</c:v>
                </c:pt>
                <c:pt idx="2">
                  <c:v>47.58376190831283</c:v>
                </c:pt>
                <c:pt idx="3">
                  <c:v>56.23535498255152</c:v>
                </c:pt>
                <c:pt idx="4">
                  <c:v>64.886948056790231</c:v>
                </c:pt>
                <c:pt idx="5">
                  <c:v>73.538541131028921</c:v>
                </c:pt>
                <c:pt idx="6">
                  <c:v>82.190134205267626</c:v>
                </c:pt>
                <c:pt idx="7">
                  <c:v>90.841727279506316</c:v>
                </c:pt>
                <c:pt idx="8">
                  <c:v>99.493320353744991</c:v>
                </c:pt>
                <c:pt idx="9">
                  <c:v>108.14491342798372</c:v>
                </c:pt>
                <c:pt idx="10">
                  <c:v>116.79650650222243</c:v>
                </c:pt>
                <c:pt idx="11">
                  <c:v>125.44809957646112</c:v>
                </c:pt>
                <c:pt idx="12">
                  <c:v>134.09969265069981</c:v>
                </c:pt>
              </c:numCache>
            </c:numRef>
          </c:xVal>
          <c:yVal>
            <c:numRef>
              <c:f>Inputs!$E$107:$E$119</c:f>
              <c:numCache>
                <c:formatCode>0</c:formatCode>
                <c:ptCount val="13"/>
                <c:pt idx="0">
                  <c:v>466.65237444279342</c:v>
                </c:pt>
                <c:pt idx="1">
                  <c:v>444.13295690936104</c:v>
                </c:pt>
                <c:pt idx="2">
                  <c:v>519.19768202080229</c:v>
                </c:pt>
                <c:pt idx="3">
                  <c:v>546.72141456166412</c:v>
                </c:pt>
                <c:pt idx="4">
                  <c:v>575.4962258543834</c:v>
                </c:pt>
                <c:pt idx="5">
                  <c:v>586.75593462109953</c:v>
                </c:pt>
                <c:pt idx="6">
                  <c:v>555.47896582466558</c:v>
                </c:pt>
                <c:pt idx="7">
                  <c:v>500.43150074294203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78B-47C1-8081-E3AC36156DD2}"/>
            </c:ext>
          </c:extLst>
        </c:ser>
        <c:ser>
          <c:idx val="8"/>
          <c:order val="2"/>
          <c:tx>
            <c:v>3T</c:v>
          </c:tx>
          <c:spPr>
            <a:ln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Inputs!$F$107:$F$119</c:f>
              <c:numCache>
                <c:formatCode>0.0</c:formatCode>
                <c:ptCount val="13"/>
                <c:pt idx="0">
                  <c:v>38.423251594413031</c:v>
                </c:pt>
                <c:pt idx="1">
                  <c:v>49.401323478531047</c:v>
                </c:pt>
                <c:pt idx="2">
                  <c:v>60.379395362649063</c:v>
                </c:pt>
                <c:pt idx="3">
                  <c:v>71.357467246767072</c:v>
                </c:pt>
                <c:pt idx="4">
                  <c:v>82.33553913088511</c:v>
                </c:pt>
                <c:pt idx="5">
                  <c:v>93.31361101500309</c:v>
                </c:pt>
                <c:pt idx="6">
                  <c:v>104.2916828991211</c:v>
                </c:pt>
                <c:pt idx="7">
                  <c:v>115.26975478323912</c:v>
                </c:pt>
                <c:pt idx="8">
                  <c:v>126.24782666735712</c:v>
                </c:pt>
                <c:pt idx="9">
                  <c:v>137.22589855147513</c:v>
                </c:pt>
                <c:pt idx="10">
                  <c:v>148.20397043559313</c:v>
                </c:pt>
                <c:pt idx="11">
                  <c:v>159.18204231971114</c:v>
                </c:pt>
                <c:pt idx="12">
                  <c:v>170.16011420382921</c:v>
                </c:pt>
              </c:numCache>
            </c:numRef>
          </c:xVal>
          <c:yVal>
            <c:numRef>
              <c:f>Inputs!$G$107:$G$119</c:f>
              <c:numCache>
                <c:formatCode>0</c:formatCode>
                <c:ptCount val="13"/>
                <c:pt idx="0">
                  <c:v>367.75915601783055</c:v>
                </c:pt>
                <c:pt idx="1">
                  <c:v>350.01206537890045</c:v>
                </c:pt>
                <c:pt idx="2">
                  <c:v>409.16903417533428</c:v>
                </c:pt>
                <c:pt idx="3">
                  <c:v>430.85992273402672</c:v>
                </c:pt>
                <c:pt idx="4">
                  <c:v>453.5367607726597</c:v>
                </c:pt>
                <c:pt idx="5">
                  <c:v>462.41030609212476</c:v>
                </c:pt>
                <c:pt idx="6">
                  <c:v>437.76156909361066</c:v>
                </c:pt>
                <c:pt idx="7">
                  <c:v>394.37979197622582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78B-47C1-8081-E3AC36156DD2}"/>
            </c:ext>
          </c:extLst>
        </c:ser>
        <c:ser>
          <c:idx val="9"/>
          <c:order val="3"/>
          <c:tx>
            <c:v>4T</c:v>
          </c:tx>
          <c:spPr>
            <a:ln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Inputs!$H$107:$H$119</c:f>
              <c:numCache>
                <c:formatCode>0.0</c:formatCode>
                <c:ptCount val="13"/>
                <c:pt idx="0">
                  <c:v>44.248712320017596</c:v>
                </c:pt>
                <c:pt idx="1">
                  <c:v>56.891201554308317</c:v>
                </c:pt>
                <c:pt idx="2">
                  <c:v>69.533690788599074</c:v>
                </c:pt>
                <c:pt idx="3">
                  <c:v>82.17618002288981</c:v>
                </c:pt>
                <c:pt idx="4">
                  <c:v>94.818669257180559</c:v>
                </c:pt>
                <c:pt idx="5">
                  <c:v>107.46115849147128</c:v>
                </c:pt>
                <c:pt idx="6">
                  <c:v>120.10364772576203</c:v>
                </c:pt>
                <c:pt idx="7">
                  <c:v>132.74613696005278</c:v>
                </c:pt>
                <c:pt idx="8">
                  <c:v>145.38862619434352</c:v>
                </c:pt>
                <c:pt idx="9">
                  <c:v>158.03111542863422</c:v>
                </c:pt>
                <c:pt idx="10">
                  <c:v>170.67360466292502</c:v>
                </c:pt>
                <c:pt idx="11">
                  <c:v>183.31609389721578</c:v>
                </c:pt>
                <c:pt idx="12">
                  <c:v>195.95858313150651</c:v>
                </c:pt>
              </c:numCache>
            </c:numRef>
          </c:xVal>
          <c:yVal>
            <c:numRef>
              <c:f>Inputs!$I$107:$I$119</c:f>
              <c:numCache>
                <c:formatCode>0</c:formatCode>
                <c:ptCount val="13"/>
                <c:pt idx="0">
                  <c:v>319.34268449727585</c:v>
                </c:pt>
                <c:pt idx="1">
                  <c:v>303.93204556711243</c:v>
                </c:pt>
                <c:pt idx="2">
                  <c:v>355.3008420009906</c:v>
                </c:pt>
                <c:pt idx="3">
                  <c:v>374.13606736007927</c:v>
                </c:pt>
                <c:pt idx="4">
                  <c:v>393.82743932639926</c:v>
                </c:pt>
                <c:pt idx="5">
                  <c:v>401.53275879148094</c:v>
                </c:pt>
                <c:pt idx="6">
                  <c:v>380.12909361069836</c:v>
                </c:pt>
                <c:pt idx="7">
                  <c:v>342.45864289252103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78B-47C1-8081-E3AC36156DD2}"/>
            </c:ext>
          </c:extLst>
        </c:ser>
        <c:ser>
          <c:idx val="10"/>
          <c:order val="4"/>
          <c:tx>
            <c:v>5T</c:v>
          </c:tx>
          <c:spPr>
            <a:ln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Inputs!$J$107:$J$119</c:f>
              <c:numCache>
                <c:formatCode>0.0</c:formatCode>
                <c:ptCount val="13"/>
                <c:pt idx="0">
                  <c:v>50.804077108168336</c:v>
                </c:pt>
                <c:pt idx="1">
                  <c:v>65.319527710502172</c:v>
                </c:pt>
                <c:pt idx="2">
                  <c:v>79.834978312835972</c:v>
                </c:pt>
                <c:pt idx="3">
                  <c:v>94.350428915169772</c:v>
                </c:pt>
                <c:pt idx="4">
                  <c:v>108.8658795175036</c:v>
                </c:pt>
                <c:pt idx="5">
                  <c:v>123.3813301198374</c:v>
                </c:pt>
                <c:pt idx="6">
                  <c:v>137.89678072217123</c:v>
                </c:pt>
                <c:pt idx="7">
                  <c:v>152.41223132450503</c:v>
                </c:pt>
                <c:pt idx="8">
                  <c:v>166.92768192683883</c:v>
                </c:pt>
                <c:pt idx="9">
                  <c:v>181.44313252917263</c:v>
                </c:pt>
                <c:pt idx="10">
                  <c:v>195.95858313150649</c:v>
                </c:pt>
                <c:pt idx="11">
                  <c:v>210.47403373384032</c:v>
                </c:pt>
                <c:pt idx="12">
                  <c:v>224.98948433617412</c:v>
                </c:pt>
              </c:numCache>
            </c:numRef>
          </c:xVal>
          <c:yVal>
            <c:numRef>
              <c:f>Inputs!$K$107:$K$119</c:f>
              <c:numCache>
                <c:formatCode>0</c:formatCode>
                <c:ptCount val="13"/>
                <c:pt idx="0">
                  <c:v>278.13717682020803</c:v>
                </c:pt>
                <c:pt idx="1">
                  <c:v>264.71500742942055</c:v>
                </c:pt>
                <c:pt idx="2">
                  <c:v>309.45557206537893</c:v>
                </c:pt>
                <c:pt idx="3">
                  <c:v>325.86044576523034</c:v>
                </c:pt>
                <c:pt idx="4">
                  <c:v>343.01099554234776</c:v>
                </c:pt>
                <c:pt idx="5">
                  <c:v>349.72208023774147</c:v>
                </c:pt>
                <c:pt idx="6">
                  <c:v>331.08017830609214</c:v>
                </c:pt>
                <c:pt idx="7">
                  <c:v>298.27043090638932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78B-47C1-8081-E3AC36156DD2}"/>
            </c:ext>
          </c:extLst>
        </c:ser>
        <c:ser>
          <c:idx val="11"/>
          <c:order val="5"/>
          <c:tx>
            <c:v>6T</c:v>
          </c:tx>
          <c:spPr>
            <a:ln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Inputs!$L$107:$L$119</c:f>
              <c:numCache>
                <c:formatCode>0.0</c:formatCode>
                <c:ptCount val="13"/>
                <c:pt idx="0">
                  <c:v>57.035762242018521</c:v>
                </c:pt>
                <c:pt idx="1">
                  <c:v>73.331694311166672</c:v>
                </c:pt>
                <c:pt idx="2">
                  <c:v>89.627626380314823</c:v>
                </c:pt>
                <c:pt idx="3">
                  <c:v>105.92355844946296</c:v>
                </c:pt>
                <c:pt idx="4">
                  <c:v>122.2194905186111</c:v>
                </c:pt>
                <c:pt idx="5">
                  <c:v>138.51542258775925</c:v>
                </c:pt>
                <c:pt idx="6">
                  <c:v>154.81135465690741</c:v>
                </c:pt>
                <c:pt idx="7">
                  <c:v>171.10728672605552</c:v>
                </c:pt>
                <c:pt idx="8">
                  <c:v>187.40321879520368</c:v>
                </c:pt>
                <c:pt idx="9">
                  <c:v>203.69915086435182</c:v>
                </c:pt>
                <c:pt idx="10">
                  <c:v>219.99508293349999</c:v>
                </c:pt>
                <c:pt idx="11">
                  <c:v>236.29101500264812</c:v>
                </c:pt>
                <c:pt idx="12">
                  <c:v>252.58694707179629</c:v>
                </c:pt>
              </c:numCache>
            </c:numRef>
          </c:xVal>
          <c:yVal>
            <c:numRef>
              <c:f>Inputs!$M$107:$M$119</c:f>
              <c:numCache>
                <c:formatCode>0</c:formatCode>
                <c:ptCount val="13"/>
                <c:pt idx="0">
                  <c:v>247.74811490837047</c:v>
                </c:pt>
                <c:pt idx="1">
                  <c:v>235.79244180287273</c:v>
                </c:pt>
                <c:pt idx="2">
                  <c:v>275.64468548786527</c:v>
                </c:pt>
                <c:pt idx="3">
                  <c:v>290.25717483902923</c:v>
                </c:pt>
                <c:pt idx="4">
                  <c:v>305.5338682516097</c:v>
                </c:pt>
                <c:pt idx="5">
                  <c:v>311.5117048043586</c:v>
                </c:pt>
                <c:pt idx="6">
                  <c:v>294.90660326894499</c:v>
                </c:pt>
                <c:pt idx="7">
                  <c:v>265.68162456661713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78B-47C1-8081-E3AC36156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51552"/>
        <c:axId val="57365632"/>
      </c:scatterChart>
      <c:valAx>
        <c:axId val="57351552"/>
        <c:scaling>
          <c:orientation val="minMax"/>
          <c:max val="18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57365632"/>
        <c:crosses val="autoZero"/>
        <c:crossBetween val="midCat"/>
        <c:majorUnit val="10"/>
      </c:valAx>
      <c:valAx>
        <c:axId val="57365632"/>
        <c:scaling>
          <c:orientation val="minMax"/>
          <c:min val="2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7351552"/>
        <c:crosses val="autoZero"/>
        <c:crossBetween val="midCat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overlay val="1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9"/>
  <sheetViews>
    <sheetView tabSelected="1" workbookViewId="0">
      <pane ySplit="3" topLeftCell="A4" activePane="bottomLeft" state="frozen"/>
      <selection pane="bottomLeft" activeCell="B7" sqref="B7"/>
    </sheetView>
  </sheetViews>
  <sheetFormatPr defaultRowHeight="15" x14ac:dyDescent="0.25"/>
  <cols>
    <col min="1" max="1" width="25.28515625" customWidth="1"/>
    <col min="2" max="5" width="12.28515625" customWidth="1"/>
    <col min="8" max="14" width="12.28515625" customWidth="1"/>
    <col min="15" max="15" width="10.28515625" customWidth="1"/>
    <col min="16" max="16" width="15" customWidth="1"/>
  </cols>
  <sheetData>
    <row r="1" spans="1:14" s="4" customFormat="1" ht="21" x14ac:dyDescent="0.35">
      <c r="A1" s="4" t="s">
        <v>0</v>
      </c>
    </row>
    <row r="2" spans="1:14" x14ac:dyDescent="0.25">
      <c r="B2" s="14" t="s">
        <v>55</v>
      </c>
      <c r="C2" s="14" t="s">
        <v>56</v>
      </c>
      <c r="D2" s="14" t="s">
        <v>57</v>
      </c>
      <c r="E2" s="14" t="s">
        <v>58</v>
      </c>
    </row>
    <row r="3" spans="1:14" x14ac:dyDescent="0.25">
      <c r="B3" s="2" t="s">
        <v>64</v>
      </c>
      <c r="C3" s="2" t="s">
        <v>63</v>
      </c>
      <c r="D3" s="2" t="s">
        <v>53</v>
      </c>
      <c r="E3" s="2" t="s">
        <v>61</v>
      </c>
      <c r="H3" s="2" t="s">
        <v>50</v>
      </c>
      <c r="I3" s="2" t="s">
        <v>51</v>
      </c>
      <c r="J3" s="2" t="s">
        <v>52</v>
      </c>
      <c r="K3" s="2" t="s">
        <v>53</v>
      </c>
      <c r="L3" s="2" t="s">
        <v>54</v>
      </c>
      <c r="M3" s="2" t="s">
        <v>61</v>
      </c>
      <c r="N3" s="2" t="s">
        <v>62</v>
      </c>
    </row>
    <row r="4" spans="1:14" x14ac:dyDescent="0.25">
      <c r="A4" s="2" t="s">
        <v>1</v>
      </c>
    </row>
    <row r="5" spans="1:14" x14ac:dyDescent="0.25">
      <c r="A5" s="1" t="s">
        <v>2</v>
      </c>
      <c r="B5" s="5">
        <v>15</v>
      </c>
      <c r="C5" s="5">
        <v>15</v>
      </c>
      <c r="D5" s="5">
        <v>15</v>
      </c>
      <c r="E5" s="5">
        <v>15</v>
      </c>
      <c r="H5" s="5">
        <v>15</v>
      </c>
      <c r="I5" s="5">
        <v>15</v>
      </c>
      <c r="J5" s="5">
        <v>16</v>
      </c>
      <c r="K5" s="5">
        <v>15</v>
      </c>
      <c r="L5" s="5">
        <v>16</v>
      </c>
      <c r="M5" s="5">
        <v>16</v>
      </c>
      <c r="N5" s="5">
        <v>15</v>
      </c>
    </row>
    <row r="6" spans="1:14" x14ac:dyDescent="0.25">
      <c r="A6" s="1" t="s">
        <v>25</v>
      </c>
      <c r="B6" s="5">
        <v>46</v>
      </c>
      <c r="C6" s="5">
        <v>50</v>
      </c>
      <c r="D6" s="5">
        <v>48</v>
      </c>
      <c r="E6" s="5">
        <v>41</v>
      </c>
      <c r="H6" s="5">
        <v>48</v>
      </c>
      <c r="I6" s="5">
        <v>49</v>
      </c>
      <c r="J6" s="5">
        <v>46</v>
      </c>
      <c r="K6" s="5">
        <v>48</v>
      </c>
      <c r="L6" s="5">
        <v>42</v>
      </c>
      <c r="M6" s="5">
        <v>40</v>
      </c>
      <c r="N6" s="5">
        <v>41</v>
      </c>
    </row>
    <row r="7" spans="1:14" x14ac:dyDescent="0.25">
      <c r="A7" s="1" t="s">
        <v>3</v>
      </c>
      <c r="B7" s="5">
        <v>15500</v>
      </c>
      <c r="C7" s="5">
        <v>15500</v>
      </c>
      <c r="D7" s="5">
        <v>14500</v>
      </c>
      <c r="E7" s="5">
        <v>10000</v>
      </c>
      <c r="H7" s="5">
        <v>15500</v>
      </c>
      <c r="I7" s="5">
        <v>15500</v>
      </c>
      <c r="J7" s="5">
        <v>14500</v>
      </c>
      <c r="K7" s="5">
        <v>14500</v>
      </c>
      <c r="L7" s="5">
        <v>15500</v>
      </c>
      <c r="M7" s="5">
        <v>10000</v>
      </c>
      <c r="N7" s="5">
        <v>10000</v>
      </c>
    </row>
    <row r="9" spans="1:14" x14ac:dyDescent="0.25">
      <c r="A9" s="3" t="s">
        <v>4</v>
      </c>
    </row>
    <row r="10" spans="1:14" x14ac:dyDescent="0.25">
      <c r="A10" s="1" t="s">
        <v>5</v>
      </c>
      <c r="B10" s="6">
        <v>1.9550000000000001</v>
      </c>
      <c r="C10" s="6">
        <v>1.9550000000000001</v>
      </c>
      <c r="D10" s="6">
        <v>2</v>
      </c>
      <c r="E10" s="6">
        <v>1.7</v>
      </c>
      <c r="H10" s="6">
        <v>1.9550000000000001</v>
      </c>
      <c r="I10" s="6">
        <v>1.9550000000000001</v>
      </c>
      <c r="J10" s="6">
        <v>2</v>
      </c>
      <c r="K10" s="6">
        <v>2</v>
      </c>
      <c r="L10" s="6">
        <v>2.1110000000000002</v>
      </c>
      <c r="M10" s="6">
        <v>1.7</v>
      </c>
      <c r="N10" s="6">
        <v>1.7</v>
      </c>
    </row>
    <row r="11" spans="1:14" x14ac:dyDescent="0.25">
      <c r="A11" s="1" t="s">
        <v>6</v>
      </c>
      <c r="B11" s="6">
        <v>2.8460000000000001</v>
      </c>
      <c r="C11" s="6">
        <v>2.8460000000000001</v>
      </c>
      <c r="D11" s="6">
        <v>2.93</v>
      </c>
      <c r="E11" s="6">
        <v>2.641</v>
      </c>
      <c r="H11" s="6">
        <v>2.8460000000000001</v>
      </c>
      <c r="I11" s="6">
        <v>2.8460000000000001</v>
      </c>
      <c r="J11" s="6">
        <v>2.93</v>
      </c>
      <c r="K11" s="6">
        <v>2.93</v>
      </c>
      <c r="L11" s="6">
        <v>2.75</v>
      </c>
      <c r="M11" s="6">
        <v>2.641</v>
      </c>
      <c r="N11" s="6">
        <v>2.641</v>
      </c>
    </row>
    <row r="12" spans="1:14" x14ac:dyDescent="0.25">
      <c r="A12" s="1" t="s">
        <v>7</v>
      </c>
      <c r="B12" s="6">
        <v>1.9470000000000001</v>
      </c>
      <c r="C12" s="6">
        <v>1.9470000000000001</v>
      </c>
      <c r="D12" s="6">
        <v>2.1019999999999999</v>
      </c>
      <c r="E12" s="6">
        <v>1.8120000000000001</v>
      </c>
      <c r="H12" s="6">
        <v>1.9470000000000001</v>
      </c>
      <c r="I12" s="6">
        <v>1.9470000000000001</v>
      </c>
      <c r="J12" s="6">
        <v>2.1019999999999999</v>
      </c>
      <c r="K12" s="6">
        <v>2.1019999999999999</v>
      </c>
      <c r="L12" s="6">
        <v>2</v>
      </c>
      <c r="M12" s="6">
        <v>1.8120000000000001</v>
      </c>
      <c r="N12" s="6">
        <v>1.8120000000000001</v>
      </c>
    </row>
    <row r="13" spans="1:14" x14ac:dyDescent="0.25">
      <c r="A13" s="1" t="s">
        <v>8</v>
      </c>
      <c r="B13" s="6">
        <v>1.556</v>
      </c>
      <c r="C13" s="6">
        <v>1.556</v>
      </c>
      <c r="D13" s="6">
        <v>1.5920000000000001</v>
      </c>
      <c r="E13" s="6">
        <v>1.4279999999999999</v>
      </c>
      <c r="H13" s="6">
        <v>1.556</v>
      </c>
      <c r="I13" s="6">
        <v>1.556</v>
      </c>
      <c r="J13" s="6">
        <v>1.5920000000000001</v>
      </c>
      <c r="K13" s="6">
        <v>1.5920000000000001</v>
      </c>
      <c r="L13" s="6">
        <v>1.667</v>
      </c>
      <c r="M13" s="6">
        <v>1.4279999999999999</v>
      </c>
      <c r="N13" s="6">
        <v>1.4279999999999999</v>
      </c>
    </row>
    <row r="14" spans="1:14" x14ac:dyDescent="0.25">
      <c r="A14" s="1" t="s">
        <v>9</v>
      </c>
      <c r="B14" s="6">
        <v>1.333</v>
      </c>
      <c r="C14" s="6">
        <v>1.333</v>
      </c>
      <c r="D14" s="6">
        <v>1.377</v>
      </c>
      <c r="E14" s="6">
        <v>1.24</v>
      </c>
      <c r="H14" s="6">
        <v>1.333</v>
      </c>
      <c r="I14" s="6">
        <v>1.333</v>
      </c>
      <c r="J14" s="6">
        <v>1.377</v>
      </c>
      <c r="K14" s="6">
        <v>1.377</v>
      </c>
      <c r="L14" s="6">
        <v>1.444</v>
      </c>
      <c r="M14" s="6">
        <v>1.24</v>
      </c>
      <c r="N14" s="6">
        <v>1.24</v>
      </c>
    </row>
    <row r="15" spans="1:14" x14ac:dyDescent="0.25">
      <c r="A15" s="1" t="s">
        <v>10</v>
      </c>
      <c r="B15" s="6">
        <v>1.19</v>
      </c>
      <c r="C15" s="6">
        <v>1.19</v>
      </c>
      <c r="D15" s="6">
        <v>1.19</v>
      </c>
      <c r="E15" s="6">
        <v>1.08</v>
      </c>
      <c r="H15" s="6">
        <v>1.19</v>
      </c>
      <c r="I15" s="6">
        <v>1.19</v>
      </c>
      <c r="J15" s="6">
        <v>1.19</v>
      </c>
      <c r="K15" s="6">
        <v>1.19</v>
      </c>
      <c r="L15" s="6">
        <v>1.304</v>
      </c>
      <c r="M15" s="6">
        <v>1.08</v>
      </c>
      <c r="N15" s="6">
        <v>1.08</v>
      </c>
    </row>
    <row r="16" spans="1:14" x14ac:dyDescent="0.25">
      <c r="A16" s="1" t="s">
        <v>11</v>
      </c>
      <c r="B16" s="6">
        <v>1.083</v>
      </c>
      <c r="C16" s="6">
        <v>1.083</v>
      </c>
      <c r="D16" s="6">
        <v>1.075</v>
      </c>
      <c r="E16" s="6">
        <v>0.96199999999999997</v>
      </c>
      <c r="H16" s="6">
        <v>1.083</v>
      </c>
      <c r="I16" s="6">
        <v>1.083</v>
      </c>
      <c r="J16" s="6">
        <v>1.075</v>
      </c>
      <c r="K16" s="6">
        <v>1.075</v>
      </c>
      <c r="L16" s="6">
        <v>1.208</v>
      </c>
      <c r="M16" s="6">
        <v>0.96199999999999997</v>
      </c>
      <c r="N16" s="6">
        <v>0.96199999999999997</v>
      </c>
    </row>
    <row r="17" spans="1:14" x14ac:dyDescent="0.25">
      <c r="A17" s="1" t="s">
        <v>13</v>
      </c>
      <c r="B17" s="7">
        <f>B6/B5</f>
        <v>3.0666666666666669</v>
      </c>
      <c r="C17" s="7">
        <f t="shared" ref="C17:E17" si="0">C6/C5</f>
        <v>3.3333333333333335</v>
      </c>
      <c r="D17" s="7">
        <f t="shared" si="0"/>
        <v>3.2</v>
      </c>
      <c r="E17" s="7">
        <f t="shared" si="0"/>
        <v>2.7333333333333334</v>
      </c>
      <c r="H17" s="12"/>
      <c r="I17" s="12"/>
      <c r="J17" s="12"/>
      <c r="K17" s="12"/>
    </row>
    <row r="19" spans="1:14" x14ac:dyDescent="0.25">
      <c r="A19" s="3" t="s">
        <v>14</v>
      </c>
    </row>
    <row r="20" spans="1:14" x14ac:dyDescent="0.25">
      <c r="A20" s="1" t="s">
        <v>15</v>
      </c>
      <c r="B20" s="5">
        <v>180</v>
      </c>
      <c r="C20" s="5">
        <v>180</v>
      </c>
      <c r="D20" s="5">
        <v>180</v>
      </c>
      <c r="E20" s="5">
        <v>190</v>
      </c>
      <c r="H20" s="5">
        <v>180</v>
      </c>
      <c r="I20" s="5">
        <v>180</v>
      </c>
      <c r="J20" s="5">
        <v>180</v>
      </c>
      <c r="K20" s="5">
        <v>180</v>
      </c>
      <c r="L20" s="5">
        <v>180</v>
      </c>
      <c r="M20" s="5">
        <v>190</v>
      </c>
      <c r="N20" s="5">
        <v>190</v>
      </c>
    </row>
    <row r="21" spans="1:14" x14ac:dyDescent="0.25">
      <c r="A21" s="1" t="s">
        <v>16</v>
      </c>
      <c r="B21" s="5">
        <v>55</v>
      </c>
      <c r="C21" s="5">
        <v>55</v>
      </c>
      <c r="D21" s="5">
        <v>55</v>
      </c>
      <c r="E21" s="5">
        <v>50</v>
      </c>
      <c r="H21" s="5">
        <v>55</v>
      </c>
      <c r="I21" s="5">
        <v>55</v>
      </c>
      <c r="J21" s="5">
        <v>55</v>
      </c>
      <c r="K21" s="5">
        <v>55</v>
      </c>
      <c r="L21" s="5">
        <v>55</v>
      </c>
      <c r="M21" s="5">
        <v>50</v>
      </c>
      <c r="N21" s="5">
        <v>50</v>
      </c>
    </row>
    <row r="22" spans="1:14" x14ac:dyDescent="0.25">
      <c r="A22" s="1" t="s">
        <v>17</v>
      </c>
      <c r="B22" s="5">
        <v>17</v>
      </c>
      <c r="C22" s="5">
        <v>17</v>
      </c>
      <c r="D22" s="5">
        <v>17</v>
      </c>
      <c r="E22" s="5">
        <v>17</v>
      </c>
      <c r="H22" s="5">
        <v>17</v>
      </c>
      <c r="I22" s="5">
        <v>17</v>
      </c>
      <c r="J22" s="5">
        <v>17</v>
      </c>
      <c r="K22" s="5">
        <v>17</v>
      </c>
      <c r="L22" s="5">
        <v>17</v>
      </c>
      <c r="M22" s="5">
        <v>17</v>
      </c>
      <c r="N22" s="5">
        <v>17</v>
      </c>
    </row>
    <row r="23" spans="1:14" x14ac:dyDescent="0.25">
      <c r="A23" s="1" t="s">
        <v>26</v>
      </c>
      <c r="B23" s="8">
        <f>(B22*25.4)/2+(B20*B21/100)</f>
        <v>314.89999999999998</v>
      </c>
      <c r="C23" s="8">
        <f t="shared" ref="C23:E23" si="1">(C22*25.4)/2+(C20*C21/100)</f>
        <v>314.89999999999998</v>
      </c>
      <c r="D23" s="8">
        <f t="shared" si="1"/>
        <v>314.89999999999998</v>
      </c>
      <c r="E23" s="8">
        <f t="shared" si="1"/>
        <v>310.89999999999998</v>
      </c>
      <c r="J23" s="13"/>
      <c r="K23" s="13"/>
      <c r="L23" s="13"/>
      <c r="M23" s="13"/>
    </row>
    <row r="24" spans="1:14" x14ac:dyDescent="0.25">
      <c r="A24" s="1" t="s">
        <v>18</v>
      </c>
      <c r="B24" s="8">
        <f>B7/(B10*B16*B17)*2*PI()*B23*60/1609000</f>
        <v>176.13174688079263</v>
      </c>
      <c r="C24" s="8">
        <f t="shared" ref="C24:E24" si="2">C7/(C10*C16*C17)*2*PI()*C23*60/1609000</f>
        <v>162.04120713032921</v>
      </c>
      <c r="D24" s="8">
        <f t="shared" si="2"/>
        <v>155.49889216099493</v>
      </c>
      <c r="E24" s="8">
        <f t="shared" si="2"/>
        <v>162.95932069148145</v>
      </c>
      <c r="J24" s="13"/>
      <c r="K24" s="13"/>
      <c r="L24" s="13"/>
      <c r="M24" s="13"/>
    </row>
    <row r="26" spans="1:14" x14ac:dyDescent="0.25">
      <c r="A26" s="3" t="s">
        <v>27</v>
      </c>
    </row>
    <row r="27" spans="1:14" x14ac:dyDescent="0.25">
      <c r="A27" s="1" t="s">
        <v>20</v>
      </c>
      <c r="B27" s="9">
        <f>$B$10*B11*$B$17</f>
        <v>17.062718666666669</v>
      </c>
      <c r="C27" s="9">
        <f>$C$10*C11*$C$17</f>
        <v>18.546433333333333</v>
      </c>
      <c r="D27" s="9">
        <f>$D$10*D11*$D$17</f>
        <v>18.752000000000002</v>
      </c>
      <c r="E27" s="9">
        <f>$E$10*E11*$E$17</f>
        <v>12.271846666666667</v>
      </c>
    </row>
    <row r="28" spans="1:14" x14ac:dyDescent="0.25">
      <c r="A28" s="1" t="s">
        <v>21</v>
      </c>
      <c r="B28" s="9">
        <f t="shared" ref="B28:B32" si="3">$B$10*B12*$B$17</f>
        <v>11.672914</v>
      </c>
      <c r="C28" s="9">
        <f t="shared" ref="C28:C32" si="4">$C$10*C12*$C$17</f>
        <v>12.687950000000001</v>
      </c>
      <c r="D28" s="9">
        <f t="shared" ref="D28:D32" si="5">$D$10*D12*$D$17</f>
        <v>13.4528</v>
      </c>
      <c r="E28" s="9">
        <f t="shared" ref="E28:E32" si="6">$E$10*E12*$E$17</f>
        <v>8.4197600000000001</v>
      </c>
    </row>
    <row r="29" spans="1:14" x14ac:dyDescent="0.25">
      <c r="A29" s="1" t="s">
        <v>22</v>
      </c>
      <c r="B29" s="9">
        <f t="shared" si="3"/>
        <v>9.3287386666666681</v>
      </c>
      <c r="C29" s="9">
        <f t="shared" si="4"/>
        <v>10.139933333333333</v>
      </c>
      <c r="D29" s="9">
        <f t="shared" si="5"/>
        <v>10.188800000000001</v>
      </c>
      <c r="E29" s="9">
        <f t="shared" si="6"/>
        <v>6.63544</v>
      </c>
    </row>
    <row r="30" spans="1:14" x14ac:dyDescent="0.25">
      <c r="A30" s="1" t="s">
        <v>23</v>
      </c>
      <c r="B30" s="9">
        <f t="shared" si="3"/>
        <v>7.9917793333333345</v>
      </c>
      <c r="C30" s="9">
        <f t="shared" si="4"/>
        <v>8.6867166666666673</v>
      </c>
      <c r="D30" s="9">
        <f t="shared" si="5"/>
        <v>8.8128000000000011</v>
      </c>
      <c r="E30" s="9">
        <f t="shared" si="6"/>
        <v>5.7618666666666671</v>
      </c>
    </row>
    <row r="31" spans="1:14" x14ac:dyDescent="0.25">
      <c r="A31" s="1" t="s">
        <v>24</v>
      </c>
      <c r="B31" s="9">
        <f t="shared" si="3"/>
        <v>7.1344466666666673</v>
      </c>
      <c r="C31" s="9">
        <f t="shared" si="4"/>
        <v>7.754833333333333</v>
      </c>
      <c r="D31" s="9">
        <f t="shared" si="5"/>
        <v>7.6159999999999997</v>
      </c>
      <c r="E31" s="9">
        <f t="shared" si="6"/>
        <v>5.0184000000000006</v>
      </c>
    </row>
    <row r="32" spans="1:14" x14ac:dyDescent="0.25">
      <c r="A32" s="1" t="s">
        <v>12</v>
      </c>
      <c r="B32" s="9">
        <f t="shared" si="3"/>
        <v>6.4929460000000008</v>
      </c>
      <c r="C32" s="9">
        <f t="shared" si="4"/>
        <v>7.0575500000000009</v>
      </c>
      <c r="D32" s="9">
        <f t="shared" si="5"/>
        <v>6.88</v>
      </c>
      <c r="E32" s="9">
        <f t="shared" si="6"/>
        <v>4.4700933333333337</v>
      </c>
    </row>
    <row r="34" spans="1:20" x14ac:dyDescent="0.25">
      <c r="A34" s="3" t="s">
        <v>19</v>
      </c>
    </row>
    <row r="35" spans="1:20" x14ac:dyDescent="0.25">
      <c r="A35" s="1" t="s">
        <v>28</v>
      </c>
      <c r="B35" s="8">
        <f>$B$7/(B27)*2*PI()*$B$23*60/1609000</f>
        <v>67.024132772979058</v>
      </c>
      <c r="C35" s="8">
        <f>$C$7/(C27)*2*PI()*$C$23*60/1609000</f>
        <v>61.662202151140747</v>
      </c>
      <c r="D35" s="8">
        <f>$D$7/(D27)*2*PI()*$D$23*60/1609000</f>
        <v>57.051641321866732</v>
      </c>
      <c r="E35" s="8">
        <f>$E$7/(E27)*2*PI()*$E$23*60/1609000</f>
        <v>59.358904394246565</v>
      </c>
    </row>
    <row r="36" spans="1:20" x14ac:dyDescent="0.25">
      <c r="A36" s="1" t="s">
        <v>29</v>
      </c>
      <c r="B36" s="8">
        <f t="shared" ref="B36:B40" si="7">$B$7/(B28)*2*PI()*$B$23*60/1609000</f>
        <v>97.971588018437814</v>
      </c>
      <c r="C36" s="8">
        <f t="shared" ref="C36:C40" si="8">$C$7/(C28)*2*PI()*$C$23*60/1609000</f>
        <v>90.133860976962794</v>
      </c>
      <c r="D36" s="8">
        <f t="shared" ref="D36:D40" si="9">$D$7/(D28)*2*PI()*$D$23*60/1609000</f>
        <v>79.524885382050201</v>
      </c>
      <c r="E36" s="8">
        <f t="shared" ref="E36:E40" si="10">$E$7/(E28)*2*PI()*$E$23*60/1609000</f>
        <v>86.515930742386971</v>
      </c>
    </row>
    <row r="37" spans="1:20" x14ac:dyDescent="0.25">
      <c r="A37" s="1" t="s">
        <v>30</v>
      </c>
      <c r="B37" s="8">
        <f t="shared" si="7"/>
        <v>122.59041251407349</v>
      </c>
      <c r="C37" s="8">
        <f t="shared" si="8"/>
        <v>112.78317951294765</v>
      </c>
      <c r="D37" s="8">
        <f t="shared" si="9"/>
        <v>105.00082228207884</v>
      </c>
      <c r="E37" s="8">
        <f t="shared" si="10"/>
        <v>109.7807188411801</v>
      </c>
    </row>
    <row r="38" spans="1:20" x14ac:dyDescent="0.25">
      <c r="A38" s="1" t="s">
        <v>31</v>
      </c>
      <c r="B38" s="8">
        <f t="shared" si="7"/>
        <v>143.0987861004489</v>
      </c>
      <c r="C38" s="8">
        <f t="shared" si="8"/>
        <v>131.65088321241299</v>
      </c>
      <c r="D38" s="8">
        <f t="shared" si="9"/>
        <v>121.39528618233081</v>
      </c>
      <c r="E38" s="8">
        <f t="shared" si="10"/>
        <v>126.42489234290743</v>
      </c>
    </row>
    <row r="39" spans="1:20" x14ac:dyDescent="0.25">
      <c r="A39" s="1" t="s">
        <v>32</v>
      </c>
      <c r="B39" s="8">
        <f t="shared" si="7"/>
        <v>160.29469064865413</v>
      </c>
      <c r="C39" s="8">
        <f t="shared" si="8"/>
        <v>147.4711153967618</v>
      </c>
      <c r="D39" s="8">
        <f t="shared" si="9"/>
        <v>140.4716882966971</v>
      </c>
      <c r="E39" s="8">
        <f t="shared" si="10"/>
        <v>145.15450602333814</v>
      </c>
    </row>
    <row r="40" spans="1:20" x14ac:dyDescent="0.25">
      <c r="A40" s="1" t="s">
        <v>33</v>
      </c>
      <c r="B40" s="8">
        <f t="shared" si="7"/>
        <v>176.13174688079263</v>
      </c>
      <c r="C40" s="8">
        <f t="shared" si="8"/>
        <v>162.04120713032921</v>
      </c>
      <c r="D40" s="8">
        <f t="shared" si="9"/>
        <v>155.49889216099493</v>
      </c>
      <c r="E40" s="8">
        <f t="shared" si="10"/>
        <v>162.95932069148145</v>
      </c>
    </row>
    <row r="42" spans="1:20" x14ac:dyDescent="0.25">
      <c r="A42" s="3" t="s">
        <v>35</v>
      </c>
      <c r="B42" s="3" t="s">
        <v>34</v>
      </c>
      <c r="P42" t="s">
        <v>59</v>
      </c>
      <c r="S42" t="s">
        <v>60</v>
      </c>
    </row>
    <row r="43" spans="1:20" x14ac:dyDescent="0.25">
      <c r="A43" s="1">
        <v>3500</v>
      </c>
      <c r="B43" s="11">
        <f>84/3.77</f>
        <v>22.281167108753316</v>
      </c>
      <c r="C43" s="11">
        <f>84/3.77</f>
        <v>22.281167108753316</v>
      </c>
      <c r="D43" s="11">
        <f>90/3.4</f>
        <v>26.47058823529412</v>
      </c>
      <c r="E43" s="11">
        <f>373/6.73</f>
        <v>55.423476968796429</v>
      </c>
      <c r="H43" s="11">
        <f t="shared" ref="H43:I43" si="11">84/3.77</f>
        <v>22.281167108753316</v>
      </c>
      <c r="I43" s="11">
        <f t="shared" si="11"/>
        <v>22.281167108753316</v>
      </c>
      <c r="J43" s="11">
        <f>90/3.4</f>
        <v>26.47058823529412</v>
      </c>
      <c r="K43" s="11">
        <f>90/3.4</f>
        <v>26.47058823529412</v>
      </c>
      <c r="L43" s="11">
        <f>231/7.85</f>
        <v>29.426751592356688</v>
      </c>
      <c r="M43" s="11">
        <f>373/6.73</f>
        <v>55.423476968796429</v>
      </c>
      <c r="N43" s="11">
        <f>373/6.73</f>
        <v>55.423476968796429</v>
      </c>
      <c r="P43">
        <v>4000</v>
      </c>
      <c r="Q43">
        <v>25</v>
      </c>
      <c r="S43">
        <v>6000</v>
      </c>
      <c r="T43">
        <v>29</v>
      </c>
    </row>
    <row r="44" spans="1:20" x14ac:dyDescent="0.25">
      <c r="A44" s="1">
        <v>4500</v>
      </c>
      <c r="B44" s="11">
        <f>111/3.77</f>
        <v>29.442970822281168</v>
      </c>
      <c r="C44" s="11">
        <f>111/3.77</f>
        <v>29.442970822281168</v>
      </c>
      <c r="D44" s="11">
        <f>97/3.4</f>
        <v>28.529411764705884</v>
      </c>
      <c r="E44" s="11">
        <f>355/6.73</f>
        <v>52.748885586924217</v>
      </c>
      <c r="H44" s="11">
        <f t="shared" ref="H44:I44" si="12">111/3.77</f>
        <v>29.442970822281168</v>
      </c>
      <c r="I44" s="11">
        <f t="shared" si="12"/>
        <v>29.442970822281168</v>
      </c>
      <c r="J44" s="11">
        <f>97/3.4</f>
        <v>28.529411764705884</v>
      </c>
      <c r="K44" s="11">
        <f>97/3.4</f>
        <v>28.529411764705884</v>
      </c>
      <c r="L44" s="11">
        <f>261/7.85</f>
        <v>33.248407643312106</v>
      </c>
      <c r="M44" s="11">
        <f>355/6.73</f>
        <v>52.748885586924217</v>
      </c>
      <c r="N44" s="11">
        <f>355/6.73</f>
        <v>52.748885586924217</v>
      </c>
      <c r="P44">
        <v>5000</v>
      </c>
      <c r="Q44">
        <v>28</v>
      </c>
      <c r="S44">
        <v>7000</v>
      </c>
      <c r="T44">
        <v>29</v>
      </c>
    </row>
    <row r="45" spans="1:20" x14ac:dyDescent="0.25">
      <c r="A45" s="1">
        <v>5500</v>
      </c>
      <c r="B45" s="11">
        <f>126/3.77</f>
        <v>33.42175066312997</v>
      </c>
      <c r="C45" s="11">
        <f>126/3.77</f>
        <v>33.42175066312997</v>
      </c>
      <c r="D45" s="11">
        <f>99/3.4</f>
        <v>29.117647058823529</v>
      </c>
      <c r="E45" s="11">
        <f>415/6.73</f>
        <v>61.664190193164927</v>
      </c>
      <c r="H45" s="11">
        <f t="shared" ref="H45:I45" si="13">126/3.77</f>
        <v>33.42175066312997</v>
      </c>
      <c r="I45" s="11">
        <f t="shared" si="13"/>
        <v>33.42175066312997</v>
      </c>
      <c r="J45" s="11">
        <f>99/3.4</f>
        <v>29.117647058823529</v>
      </c>
      <c r="K45" s="11">
        <f>99/3.4</f>
        <v>29.117647058823529</v>
      </c>
      <c r="L45" s="11">
        <f>270/7.85</f>
        <v>34.394904458598731</v>
      </c>
      <c r="M45" s="11">
        <f>415/6.73</f>
        <v>61.664190193164927</v>
      </c>
      <c r="N45" s="11">
        <f>415/6.73</f>
        <v>61.664190193164927</v>
      </c>
      <c r="P45">
        <v>6000</v>
      </c>
      <c r="Q45">
        <v>30</v>
      </c>
      <c r="S45">
        <v>8000</v>
      </c>
      <c r="T45">
        <v>26</v>
      </c>
    </row>
    <row r="46" spans="1:20" x14ac:dyDescent="0.25">
      <c r="A46" s="1">
        <v>6500</v>
      </c>
      <c r="B46" s="11">
        <f>132/3.77</f>
        <v>35.013262599469499</v>
      </c>
      <c r="C46" s="11">
        <f>132/3.77</f>
        <v>35.013262599469499</v>
      </c>
      <c r="D46" s="11">
        <f>119/3.4</f>
        <v>35</v>
      </c>
      <c r="E46" s="11">
        <f>437/6.73</f>
        <v>64.933135215453191</v>
      </c>
      <c r="H46" s="11">
        <f t="shared" ref="H46:I46" si="14">132/3.77</f>
        <v>35.013262599469499</v>
      </c>
      <c r="I46" s="11">
        <f t="shared" si="14"/>
        <v>35.013262599469499</v>
      </c>
      <c r="J46" s="11">
        <f>119/3.4</f>
        <v>35</v>
      </c>
      <c r="K46" s="11">
        <f>119/3.4</f>
        <v>35</v>
      </c>
      <c r="L46" s="11">
        <f>264/7.85</f>
        <v>33.630573248407643</v>
      </c>
      <c r="M46" s="11">
        <f>437/6.73</f>
        <v>64.933135215453191</v>
      </c>
      <c r="N46" s="11">
        <f>437/6.73</f>
        <v>64.933135215453191</v>
      </c>
      <c r="P46">
        <v>7000</v>
      </c>
      <c r="Q46">
        <v>30</v>
      </c>
      <c r="S46">
        <v>9000</v>
      </c>
      <c r="T46">
        <v>35</v>
      </c>
    </row>
    <row r="47" spans="1:20" x14ac:dyDescent="0.25">
      <c r="A47" s="1">
        <v>7500</v>
      </c>
      <c r="B47" s="11">
        <f>138/3.77</f>
        <v>36.604774535809021</v>
      </c>
      <c r="C47" s="11">
        <f>138/3.77</f>
        <v>36.604774535809021</v>
      </c>
      <c r="D47" s="11">
        <f>131/3.4</f>
        <v>38.529411764705884</v>
      </c>
      <c r="E47" s="11">
        <f>460/6.73</f>
        <v>68.350668647845467</v>
      </c>
      <c r="H47" s="11">
        <f t="shared" ref="H47:I47" si="15">138/3.77</f>
        <v>36.604774535809021</v>
      </c>
      <c r="I47" s="11">
        <f t="shared" si="15"/>
        <v>36.604774535809021</v>
      </c>
      <c r="J47" s="11">
        <f>131/3.4</f>
        <v>38.529411764705884</v>
      </c>
      <c r="K47" s="11">
        <f>131/3.4</f>
        <v>38.529411764705884</v>
      </c>
      <c r="L47" s="11">
        <f>281/7.85</f>
        <v>35.796178343949045</v>
      </c>
      <c r="M47" s="11">
        <f>460/6.73</f>
        <v>68.350668647845467</v>
      </c>
      <c r="N47" s="11">
        <f>460/6.73</f>
        <v>68.350668647845467</v>
      </c>
      <c r="P47">
        <v>8000</v>
      </c>
      <c r="Q47">
        <v>32</v>
      </c>
      <c r="S47">
        <v>10000</v>
      </c>
      <c r="T47">
        <v>35</v>
      </c>
    </row>
    <row r="48" spans="1:20" x14ac:dyDescent="0.25">
      <c r="A48" s="1">
        <v>8500</v>
      </c>
      <c r="B48" s="11">
        <f>141/3.77</f>
        <v>37.400530503978779</v>
      </c>
      <c r="C48" s="11">
        <f>141/3.77</f>
        <v>37.400530503978779</v>
      </c>
      <c r="D48" s="11">
        <f>131/3.4</f>
        <v>38.529411764705884</v>
      </c>
      <c r="E48" s="11">
        <f>469/6.73</f>
        <v>69.687964338781569</v>
      </c>
      <c r="H48" s="11">
        <f t="shared" ref="H48:I48" si="16">141/3.77</f>
        <v>37.400530503978779</v>
      </c>
      <c r="I48" s="11">
        <f t="shared" si="16"/>
        <v>37.400530503978779</v>
      </c>
      <c r="J48" s="11">
        <f>131/3.4</f>
        <v>38.529411764705884</v>
      </c>
      <c r="K48" s="11">
        <f>131/3.4</f>
        <v>38.529411764705884</v>
      </c>
      <c r="L48" s="11">
        <f>331/7.85</f>
        <v>42.165605095541402</v>
      </c>
      <c r="M48" s="11">
        <f>469/6.73</f>
        <v>69.687964338781569</v>
      </c>
      <c r="N48" s="11">
        <f>469/6.73</f>
        <v>69.687964338781569</v>
      </c>
      <c r="P48">
        <v>9000</v>
      </c>
      <c r="Q48">
        <v>35</v>
      </c>
      <c r="S48">
        <v>11000</v>
      </c>
      <c r="T48">
        <v>40</v>
      </c>
    </row>
    <row r="49" spans="1:20" x14ac:dyDescent="0.25">
      <c r="A49" s="1">
        <v>9500</v>
      </c>
      <c r="B49" s="11">
        <f>165/3.77</f>
        <v>43.766578249336867</v>
      </c>
      <c r="C49" s="11">
        <f>165/3.77</f>
        <v>43.766578249336867</v>
      </c>
      <c r="D49" s="11">
        <f>139/3.4</f>
        <v>40.882352941176471</v>
      </c>
      <c r="E49" s="11">
        <f>444/6.73</f>
        <v>65.973254086181271</v>
      </c>
      <c r="H49" s="11">
        <f t="shared" ref="H49:I49" si="17">165/3.77</f>
        <v>43.766578249336867</v>
      </c>
      <c r="I49" s="11">
        <f t="shared" si="17"/>
        <v>43.766578249336867</v>
      </c>
      <c r="J49" s="11">
        <f>139/3.4</f>
        <v>40.882352941176471</v>
      </c>
      <c r="K49" s="11">
        <f>139/3.4</f>
        <v>40.882352941176471</v>
      </c>
      <c r="L49" s="11">
        <f>339/7.85</f>
        <v>43.184713375796179</v>
      </c>
      <c r="M49" s="11">
        <f>444/6.73</f>
        <v>65.973254086181271</v>
      </c>
      <c r="N49" s="11">
        <f>444/6.73</f>
        <v>65.973254086181271</v>
      </c>
      <c r="P49">
        <v>10000</v>
      </c>
      <c r="Q49">
        <v>46</v>
      </c>
      <c r="S49">
        <v>12000</v>
      </c>
      <c r="T49">
        <v>42</v>
      </c>
    </row>
    <row r="50" spans="1:20" x14ac:dyDescent="0.25">
      <c r="A50" s="1">
        <v>10500</v>
      </c>
      <c r="B50" s="11">
        <f>168/3.77</f>
        <v>44.562334217506631</v>
      </c>
      <c r="C50" s="11">
        <f>168/3.77</f>
        <v>44.562334217506631</v>
      </c>
      <c r="D50" s="11">
        <f>142/3.4</f>
        <v>41.764705882352942</v>
      </c>
      <c r="E50" s="11">
        <f>400/6.73</f>
        <v>59.43536404160475</v>
      </c>
      <c r="H50" s="11">
        <f t="shared" ref="H50:I50" si="18">168/3.77</f>
        <v>44.562334217506631</v>
      </c>
      <c r="I50" s="11">
        <f t="shared" si="18"/>
        <v>44.562334217506631</v>
      </c>
      <c r="J50" s="11">
        <f>142/3.4</f>
        <v>41.764705882352942</v>
      </c>
      <c r="K50" s="11">
        <f>142/3.4</f>
        <v>41.764705882352942</v>
      </c>
      <c r="L50" s="11">
        <f>361/7.85</f>
        <v>45.98726114649682</v>
      </c>
      <c r="M50" s="11">
        <f>400/6.73</f>
        <v>59.43536404160475</v>
      </c>
      <c r="N50" s="11">
        <f>400/6.73</f>
        <v>59.43536404160475</v>
      </c>
      <c r="P50">
        <v>11000</v>
      </c>
      <c r="Q50">
        <v>44</v>
      </c>
      <c r="S50">
        <v>13000</v>
      </c>
      <c r="T50">
        <v>40</v>
      </c>
    </row>
    <row r="51" spans="1:20" x14ac:dyDescent="0.25">
      <c r="A51" s="1">
        <v>11500</v>
      </c>
      <c r="B51" s="11">
        <f>169/3.77</f>
        <v>44.827586206896548</v>
      </c>
      <c r="C51" s="11">
        <f>169/3.77</f>
        <v>44.827586206896548</v>
      </c>
      <c r="D51" s="11">
        <f>140/3.4</f>
        <v>41.176470588235297</v>
      </c>
      <c r="E51" s="11"/>
      <c r="H51" s="11">
        <f t="shared" ref="H51:I52" si="19">169/3.77</f>
        <v>44.827586206896548</v>
      </c>
      <c r="I51" s="11">
        <f t="shared" si="19"/>
        <v>44.827586206896548</v>
      </c>
      <c r="J51" s="11">
        <f>140/3.4</f>
        <v>41.176470588235297</v>
      </c>
      <c r="K51" s="11">
        <f>140/3.4</f>
        <v>41.176470588235297</v>
      </c>
      <c r="L51" s="11">
        <f>363/7.85</f>
        <v>46.242038216560509</v>
      </c>
      <c r="M51" s="11"/>
      <c r="N51" s="11"/>
      <c r="P51">
        <v>12000</v>
      </c>
      <c r="Q51">
        <v>42</v>
      </c>
      <c r="S51">
        <v>14000</v>
      </c>
      <c r="T51">
        <v>39</v>
      </c>
    </row>
    <row r="52" spans="1:20" x14ac:dyDescent="0.25">
      <c r="A52" s="1">
        <v>12500</v>
      </c>
      <c r="B52" s="11">
        <f>169/3.77</f>
        <v>44.827586206896548</v>
      </c>
      <c r="C52" s="11">
        <f>169/3.77</f>
        <v>44.827586206896548</v>
      </c>
      <c r="D52" s="11">
        <f>135/3.4</f>
        <v>39.705882352941174</v>
      </c>
      <c r="E52" s="11"/>
      <c r="H52" s="11">
        <f t="shared" si="19"/>
        <v>44.827586206896548</v>
      </c>
      <c r="I52" s="11">
        <f t="shared" si="19"/>
        <v>44.827586206896548</v>
      </c>
      <c r="J52" s="11">
        <f>135/3.4</f>
        <v>39.705882352941174</v>
      </c>
      <c r="K52" s="11">
        <f>135/3.4</f>
        <v>39.705882352941174</v>
      </c>
      <c r="L52" s="11">
        <f>346/7.85</f>
        <v>44.076433121019107</v>
      </c>
      <c r="M52" s="11"/>
      <c r="N52" s="11"/>
      <c r="P52">
        <v>13000</v>
      </c>
      <c r="Q52">
        <v>42</v>
      </c>
      <c r="S52">
        <v>15000</v>
      </c>
      <c r="T52">
        <v>33</v>
      </c>
    </row>
    <row r="53" spans="1:20" x14ac:dyDescent="0.25">
      <c r="A53" s="1">
        <v>13500</v>
      </c>
      <c r="B53" s="11">
        <f>159/3.77</f>
        <v>42.175066312997345</v>
      </c>
      <c r="C53" s="11">
        <f>159/3.77</f>
        <v>42.175066312997345</v>
      </c>
      <c r="D53" s="11">
        <f>122/3.4</f>
        <v>35.882352941176471</v>
      </c>
      <c r="E53" s="11"/>
      <c r="H53" s="11">
        <f t="shared" ref="H53:I53" si="20">159/3.77</f>
        <v>42.175066312997345</v>
      </c>
      <c r="I53" s="11">
        <f t="shared" si="20"/>
        <v>42.175066312997345</v>
      </c>
      <c r="J53" s="11">
        <f>122/3.4</f>
        <v>35.882352941176471</v>
      </c>
      <c r="K53" s="11">
        <f>122/3.4</f>
        <v>35.882352941176471</v>
      </c>
      <c r="L53" s="11">
        <f>329/7.85</f>
        <v>41.910828025477706</v>
      </c>
      <c r="M53" s="11"/>
      <c r="N53" s="11"/>
      <c r="P53">
        <v>14000</v>
      </c>
      <c r="Q53">
        <v>40</v>
      </c>
    </row>
    <row r="54" spans="1:20" x14ac:dyDescent="0.25">
      <c r="A54" s="1">
        <v>14500</v>
      </c>
      <c r="B54" s="11">
        <f>142/3.77</f>
        <v>37.665782493368702</v>
      </c>
      <c r="C54" s="11">
        <f>142/3.77</f>
        <v>37.665782493368702</v>
      </c>
      <c r="D54" s="11">
        <f>104/3.4</f>
        <v>30.588235294117649</v>
      </c>
      <c r="E54" s="11"/>
      <c r="H54" s="11">
        <f t="shared" ref="H54:I54" si="21">142/3.77</f>
        <v>37.665782493368702</v>
      </c>
      <c r="I54" s="11">
        <f t="shared" si="21"/>
        <v>37.665782493368702</v>
      </c>
      <c r="J54" s="11">
        <f>104/3.4</f>
        <v>30.588235294117649</v>
      </c>
      <c r="K54" s="11">
        <f>104/3.4</f>
        <v>30.588235294117649</v>
      </c>
      <c r="L54" s="11">
        <f>296/7.85</f>
        <v>37.70700636942675</v>
      </c>
      <c r="M54" s="11"/>
      <c r="N54" s="11"/>
      <c r="P54">
        <v>15000</v>
      </c>
      <c r="Q54">
        <v>33</v>
      </c>
    </row>
    <row r="55" spans="1:20" x14ac:dyDescent="0.25">
      <c r="A55" s="1">
        <v>15500</v>
      </c>
      <c r="B55" s="11">
        <f>127/3.77</f>
        <v>33.687002652519894</v>
      </c>
      <c r="C55" s="11">
        <f>127/3.77</f>
        <v>33.687002652519894</v>
      </c>
      <c r="D55" s="11"/>
      <c r="E55" s="11"/>
      <c r="H55" s="11">
        <f t="shared" ref="H55:I55" si="22">127/3.77</f>
        <v>33.687002652519894</v>
      </c>
      <c r="I55" s="11">
        <f t="shared" si="22"/>
        <v>33.687002652519894</v>
      </c>
      <c r="J55" s="11"/>
      <c r="K55" s="11"/>
      <c r="L55" s="11">
        <f>262/7.85</f>
        <v>33.375796178343954</v>
      </c>
      <c r="M55" s="11"/>
      <c r="N55" s="11"/>
    </row>
    <row r="57" spans="1:20" x14ac:dyDescent="0.25">
      <c r="A57" s="3" t="s">
        <v>36</v>
      </c>
      <c r="B57" s="2" t="str">
        <f>B3</f>
        <v>R6 Track (46T)</v>
      </c>
    </row>
    <row r="58" spans="1:20" x14ac:dyDescent="0.25">
      <c r="A58" s="2" t="s">
        <v>37</v>
      </c>
      <c r="B58" t="s">
        <v>38</v>
      </c>
      <c r="C58" t="s">
        <v>39</v>
      </c>
      <c r="D58" t="s">
        <v>40</v>
      </c>
      <c r="E58" t="s">
        <v>41</v>
      </c>
      <c r="F58" t="s">
        <v>42</v>
      </c>
      <c r="G58" t="s">
        <v>43</v>
      </c>
      <c r="H58" t="s">
        <v>44</v>
      </c>
      <c r="I58" t="s">
        <v>45</v>
      </c>
      <c r="J58" t="s">
        <v>46</v>
      </c>
      <c r="K58" t="s">
        <v>47</v>
      </c>
      <c r="L58" t="s">
        <v>48</v>
      </c>
      <c r="M58" t="s">
        <v>49</v>
      </c>
    </row>
    <row r="59" spans="1:20" x14ac:dyDescent="0.25">
      <c r="A59" s="1">
        <v>3500</v>
      </c>
      <c r="B59" s="8">
        <f>A59/($B$27)*2*PI()*$B$23*60/1609000</f>
        <v>15.134481593898498</v>
      </c>
      <c r="C59" s="10">
        <f>B43*$B$27</f>
        <v>380.17728594164458</v>
      </c>
      <c r="D59" s="8">
        <f>A59/($B$28)*2*PI()*$B$23*60/1609000</f>
        <v>22.122616649324666</v>
      </c>
      <c r="E59" s="10">
        <f>B43*$B$28</f>
        <v>260.08614748010609</v>
      </c>
      <c r="F59" s="8">
        <f>A59/($B$29)*2*PI()*$B$23*60/1609000</f>
        <v>27.681706051564991</v>
      </c>
      <c r="G59" s="10">
        <f>B43*$B$29</f>
        <v>207.85518514588861</v>
      </c>
      <c r="H59" s="8">
        <f>A59/($B$30)*2*PI()*$B$23*60/1609000</f>
        <v>32.312629119456211</v>
      </c>
      <c r="I59" s="10">
        <f>B43*$B$30</f>
        <v>178.06617082228118</v>
      </c>
      <c r="J59" s="8">
        <f>A59/($B$31)*2*PI()*$B$23*60/1609000</f>
        <v>36.195575307760606</v>
      </c>
      <c r="K59" s="10">
        <f>B43*$B$31</f>
        <v>158.96379840848809</v>
      </c>
      <c r="L59" s="8">
        <f>A59/($B$32)*2*PI()*$B$23*60/1609000</f>
        <v>39.771684779533821</v>
      </c>
      <c r="M59" s="10">
        <f>B43*$B$32</f>
        <v>144.67041485411141</v>
      </c>
    </row>
    <row r="60" spans="1:20" x14ac:dyDescent="0.25">
      <c r="A60" s="1">
        <v>4500</v>
      </c>
      <c r="B60" s="8">
        <f t="shared" ref="B60:B71" si="23">A60/($B$27)*2*PI()*$B$23*60/1609000</f>
        <v>19.458619192155215</v>
      </c>
      <c r="C60" s="10">
        <f t="shared" ref="C60:C71" si="24">B44*$B$27</f>
        <v>502.37712785145897</v>
      </c>
      <c r="D60" s="8">
        <f t="shared" ref="D60:D71" si="25">A60/($B$28)*2*PI()*$B$23*60/1609000</f>
        <v>28.443364263417433</v>
      </c>
      <c r="E60" s="10">
        <f t="shared" ref="E60:E71" si="26">B44*$B$28</f>
        <v>343.68526631299738</v>
      </c>
      <c r="F60" s="8">
        <f t="shared" ref="F60:F71" si="27">A60/($B$29)*2*PI()*$B$23*60/1609000</f>
        <v>35.590764923440702</v>
      </c>
      <c r="G60" s="10">
        <f t="shared" ref="G60:G71" si="28">B44*$B$29</f>
        <v>274.66578037135281</v>
      </c>
      <c r="H60" s="8">
        <f t="shared" ref="H60:H71" si="29">A60/($B$30)*2*PI()*$B$23*60/1609000</f>
        <v>41.544808867872263</v>
      </c>
      <c r="I60" s="10">
        <f t="shared" ref="I60:I71" si="30">B44*$B$30</f>
        <v>235.30172572944301</v>
      </c>
      <c r="J60" s="8">
        <f t="shared" ref="J60:J71" si="31">A60/($B$31)*2*PI()*$B$23*60/1609000</f>
        <v>46.53716825283508</v>
      </c>
      <c r="K60" s="10">
        <f t="shared" ref="K60:K71" si="32">B44*$B$31</f>
        <v>210.05930503978783</v>
      </c>
      <c r="L60" s="8">
        <f t="shared" ref="L60:L71" si="33">A60/($B$32)*2*PI()*$B$23*60/1609000</f>
        <v>51.135023287972039</v>
      </c>
      <c r="M60" s="10">
        <f t="shared" ref="M60:M71" si="34">B44*$B$32</f>
        <v>191.17161962864725</v>
      </c>
    </row>
    <row r="61" spans="1:20" x14ac:dyDescent="0.25">
      <c r="A61" s="1">
        <v>5500</v>
      </c>
      <c r="B61" s="8">
        <f t="shared" si="23"/>
        <v>23.782756790411923</v>
      </c>
      <c r="C61" s="10">
        <f t="shared" si="24"/>
        <v>570.26592891246685</v>
      </c>
      <c r="D61" s="8">
        <f t="shared" si="25"/>
        <v>34.764111877510189</v>
      </c>
      <c r="E61" s="10">
        <f t="shared" si="26"/>
        <v>390.12922122015914</v>
      </c>
      <c r="F61" s="8">
        <f t="shared" si="27"/>
        <v>43.499823795316409</v>
      </c>
      <c r="G61" s="10">
        <f t="shared" si="28"/>
        <v>311.7827777188329</v>
      </c>
      <c r="H61" s="8">
        <f t="shared" si="29"/>
        <v>50.776988616288321</v>
      </c>
      <c r="I61" s="10">
        <f t="shared" si="30"/>
        <v>267.09925623342178</v>
      </c>
      <c r="J61" s="8">
        <f t="shared" si="31"/>
        <v>56.878761197909526</v>
      </c>
      <c r="K61" s="10">
        <f t="shared" si="32"/>
        <v>238.44569761273209</v>
      </c>
      <c r="L61" s="8">
        <f t="shared" si="33"/>
        <v>62.498361796410279</v>
      </c>
      <c r="M61" s="10">
        <f t="shared" si="34"/>
        <v>217.00562228116712</v>
      </c>
    </row>
    <row r="62" spans="1:20" x14ac:dyDescent="0.25">
      <c r="A62" s="1">
        <v>6500</v>
      </c>
      <c r="B62" s="8">
        <f t="shared" si="23"/>
        <v>28.106894388668639</v>
      </c>
      <c r="C62" s="10">
        <f t="shared" si="24"/>
        <v>597.42144933687018</v>
      </c>
      <c r="D62" s="8">
        <f t="shared" si="25"/>
        <v>41.084859491602955</v>
      </c>
      <c r="E62" s="10">
        <f t="shared" si="26"/>
        <v>408.70680318302391</v>
      </c>
      <c r="F62" s="8">
        <f t="shared" si="27"/>
        <v>51.408882667192117</v>
      </c>
      <c r="G62" s="10">
        <f t="shared" si="28"/>
        <v>326.629576657825</v>
      </c>
      <c r="H62" s="8">
        <f t="shared" si="29"/>
        <v>60.009168364704379</v>
      </c>
      <c r="I62" s="10">
        <f t="shared" si="30"/>
        <v>279.81826843501335</v>
      </c>
      <c r="J62" s="8">
        <f t="shared" si="31"/>
        <v>67.220354142983993</v>
      </c>
      <c r="K62" s="10">
        <f t="shared" si="32"/>
        <v>249.80025464190985</v>
      </c>
      <c r="L62" s="8">
        <f t="shared" si="33"/>
        <v>73.861700304848512</v>
      </c>
      <c r="M62" s="10">
        <f t="shared" si="34"/>
        <v>227.3392233421751</v>
      </c>
    </row>
    <row r="63" spans="1:20" x14ac:dyDescent="0.25">
      <c r="A63" s="1">
        <v>7500</v>
      </c>
      <c r="B63" s="8">
        <f t="shared" si="23"/>
        <v>32.431031986925348</v>
      </c>
      <c r="C63" s="10">
        <f t="shared" si="24"/>
        <v>624.57696976127329</v>
      </c>
      <c r="D63" s="8">
        <f t="shared" si="25"/>
        <v>47.405607105695708</v>
      </c>
      <c r="E63" s="10">
        <f t="shared" si="26"/>
        <v>427.28438514588862</v>
      </c>
      <c r="F63" s="8">
        <f t="shared" si="27"/>
        <v>59.317941539067817</v>
      </c>
      <c r="G63" s="10">
        <f t="shared" si="28"/>
        <v>341.47637559681704</v>
      </c>
      <c r="H63" s="8">
        <f t="shared" si="29"/>
        <v>69.241348113120452</v>
      </c>
      <c r="I63" s="10">
        <f t="shared" si="30"/>
        <v>292.53728063660486</v>
      </c>
      <c r="J63" s="8">
        <f t="shared" si="31"/>
        <v>77.56194708805846</v>
      </c>
      <c r="K63" s="10">
        <f t="shared" si="32"/>
        <v>261.1548116710876</v>
      </c>
      <c r="L63" s="8">
        <f t="shared" si="33"/>
        <v>85.225038813286758</v>
      </c>
      <c r="M63" s="10">
        <f t="shared" si="34"/>
        <v>237.67282440318306</v>
      </c>
    </row>
    <row r="64" spans="1:20" x14ac:dyDescent="0.25">
      <c r="A64" s="1">
        <v>8500</v>
      </c>
      <c r="B64" s="8">
        <f t="shared" si="23"/>
        <v>36.75516958518206</v>
      </c>
      <c r="C64" s="10">
        <f t="shared" si="24"/>
        <v>638.1547299734749</v>
      </c>
      <c r="D64" s="8">
        <f t="shared" si="25"/>
        <v>53.726354719788475</v>
      </c>
      <c r="E64" s="10">
        <f t="shared" si="26"/>
        <v>436.57317612732095</v>
      </c>
      <c r="F64" s="8">
        <f t="shared" si="27"/>
        <v>67.227000410943532</v>
      </c>
      <c r="G64" s="10">
        <f t="shared" si="28"/>
        <v>348.89977506631305</v>
      </c>
      <c r="H64" s="8">
        <f t="shared" si="29"/>
        <v>78.473527861536496</v>
      </c>
      <c r="I64" s="10">
        <f t="shared" si="30"/>
        <v>298.89678673740059</v>
      </c>
      <c r="J64" s="8">
        <f t="shared" si="31"/>
        <v>87.903540033132899</v>
      </c>
      <c r="K64" s="10">
        <f t="shared" si="32"/>
        <v>266.83209018567641</v>
      </c>
      <c r="L64" s="8">
        <f t="shared" si="33"/>
        <v>96.588377321724991</v>
      </c>
      <c r="M64" s="10">
        <f t="shared" si="34"/>
        <v>242.83962493368702</v>
      </c>
    </row>
    <row r="65" spans="1:13" x14ac:dyDescent="0.25">
      <c r="A65" s="1">
        <v>9500</v>
      </c>
      <c r="B65" s="8">
        <f t="shared" si="23"/>
        <v>41.079307183438779</v>
      </c>
      <c r="C65" s="10">
        <f t="shared" si="24"/>
        <v>746.77681167108756</v>
      </c>
      <c r="D65" s="8">
        <f t="shared" si="25"/>
        <v>60.047102333881234</v>
      </c>
      <c r="E65" s="10">
        <f t="shared" si="26"/>
        <v>510.8835039787798</v>
      </c>
      <c r="F65" s="8">
        <f t="shared" si="27"/>
        <v>75.136059282819261</v>
      </c>
      <c r="G65" s="10">
        <f t="shared" si="28"/>
        <v>408.28697082228121</v>
      </c>
      <c r="H65" s="8">
        <f t="shared" si="29"/>
        <v>87.705707609952569</v>
      </c>
      <c r="I65" s="10">
        <f t="shared" si="30"/>
        <v>349.77283554376658</v>
      </c>
      <c r="J65" s="8">
        <f t="shared" si="31"/>
        <v>98.24513297820738</v>
      </c>
      <c r="K65" s="10">
        <f t="shared" si="32"/>
        <v>312.25031830238726</v>
      </c>
      <c r="L65" s="8">
        <f t="shared" si="33"/>
        <v>107.95171583016324</v>
      </c>
      <c r="M65" s="10">
        <f t="shared" si="34"/>
        <v>284.17402917771886</v>
      </c>
    </row>
    <row r="66" spans="1:13" x14ac:dyDescent="0.25">
      <c r="A66" s="1">
        <v>10500</v>
      </c>
      <c r="B66" s="8">
        <f t="shared" si="23"/>
        <v>45.403444781695491</v>
      </c>
      <c r="C66" s="10">
        <f t="shared" si="24"/>
        <v>760.35457188328917</v>
      </c>
      <c r="D66" s="8">
        <f t="shared" si="25"/>
        <v>66.367849947974008</v>
      </c>
      <c r="E66" s="10">
        <f t="shared" si="26"/>
        <v>520.17229496021218</v>
      </c>
      <c r="F66" s="8">
        <f t="shared" si="27"/>
        <v>83.045118154694947</v>
      </c>
      <c r="G66" s="10">
        <f t="shared" si="28"/>
        <v>415.71037029177722</v>
      </c>
      <c r="H66" s="8">
        <f t="shared" si="29"/>
        <v>96.937887358368613</v>
      </c>
      <c r="I66" s="10">
        <f t="shared" si="30"/>
        <v>356.13234164456236</v>
      </c>
      <c r="J66" s="8">
        <f t="shared" si="31"/>
        <v>108.58672592328182</v>
      </c>
      <c r="K66" s="10">
        <f t="shared" si="32"/>
        <v>317.92759681697618</v>
      </c>
      <c r="L66" s="8">
        <f t="shared" si="33"/>
        <v>119.31505433860146</v>
      </c>
      <c r="M66" s="10">
        <f t="shared" si="34"/>
        <v>289.34082970822283</v>
      </c>
    </row>
    <row r="67" spans="1:13" x14ac:dyDescent="0.25">
      <c r="A67" s="1">
        <v>11500</v>
      </c>
      <c r="B67" s="8">
        <f t="shared" si="23"/>
        <v>49.727582379952203</v>
      </c>
      <c r="C67" s="10">
        <f t="shared" si="24"/>
        <v>764.880491954023</v>
      </c>
      <c r="D67" s="8">
        <f t="shared" si="25"/>
        <v>72.688597562066761</v>
      </c>
      <c r="E67" s="10">
        <f t="shared" si="26"/>
        <v>523.26855862068965</v>
      </c>
      <c r="F67" s="8">
        <f t="shared" si="27"/>
        <v>90.954177026570676</v>
      </c>
      <c r="G67" s="10">
        <f t="shared" si="28"/>
        <v>418.18483678160925</v>
      </c>
      <c r="H67" s="8">
        <f t="shared" si="29"/>
        <v>106.17006710678469</v>
      </c>
      <c r="I67" s="10">
        <f t="shared" si="30"/>
        <v>358.25217701149427</v>
      </c>
      <c r="J67" s="8">
        <f t="shared" si="31"/>
        <v>118.92831886835629</v>
      </c>
      <c r="K67" s="10">
        <f t="shared" si="32"/>
        <v>319.82002298850574</v>
      </c>
      <c r="L67" s="8">
        <f t="shared" si="33"/>
        <v>130.67839284703967</v>
      </c>
      <c r="M67" s="10">
        <f t="shared" si="34"/>
        <v>291.06309655172413</v>
      </c>
    </row>
    <row r="68" spans="1:13" x14ac:dyDescent="0.25">
      <c r="A68" s="1">
        <v>12500</v>
      </c>
      <c r="B68" s="8">
        <f t="shared" si="23"/>
        <v>54.051719978208908</v>
      </c>
      <c r="C68" s="10">
        <f t="shared" si="24"/>
        <v>764.880491954023</v>
      </c>
      <c r="D68" s="8">
        <f t="shared" si="25"/>
        <v>79.009345176159528</v>
      </c>
      <c r="E68" s="10">
        <f t="shared" si="26"/>
        <v>523.26855862068965</v>
      </c>
      <c r="F68" s="8">
        <f t="shared" si="27"/>
        <v>98.863235898446376</v>
      </c>
      <c r="G68" s="10">
        <f t="shared" si="28"/>
        <v>418.18483678160925</v>
      </c>
      <c r="H68" s="8">
        <f t="shared" si="29"/>
        <v>115.40224685520074</v>
      </c>
      <c r="I68" s="10">
        <f t="shared" si="30"/>
        <v>358.25217701149427</v>
      </c>
      <c r="J68" s="8">
        <f t="shared" si="31"/>
        <v>129.26991181343078</v>
      </c>
      <c r="K68" s="10">
        <f t="shared" si="32"/>
        <v>319.82002298850574</v>
      </c>
      <c r="L68" s="8">
        <f t="shared" si="33"/>
        <v>142.04173135547794</v>
      </c>
      <c r="M68" s="10">
        <f t="shared" si="34"/>
        <v>291.06309655172413</v>
      </c>
    </row>
    <row r="69" spans="1:13" x14ac:dyDescent="0.25">
      <c r="A69" s="1">
        <v>13500</v>
      </c>
      <c r="B69" s="8">
        <f t="shared" si="23"/>
        <v>58.375857576465641</v>
      </c>
      <c r="C69" s="10">
        <f t="shared" si="24"/>
        <v>719.62129124668434</v>
      </c>
      <c r="D69" s="8">
        <f t="shared" si="25"/>
        <v>85.330092790252266</v>
      </c>
      <c r="E69" s="10">
        <f t="shared" si="26"/>
        <v>492.30592201591509</v>
      </c>
      <c r="F69" s="8">
        <f t="shared" si="27"/>
        <v>106.77229477032209</v>
      </c>
      <c r="G69" s="10">
        <f t="shared" si="28"/>
        <v>393.44017188328917</v>
      </c>
      <c r="H69" s="8">
        <f t="shared" si="29"/>
        <v>124.6344266036168</v>
      </c>
      <c r="I69" s="10">
        <f t="shared" si="30"/>
        <v>337.05382334217506</v>
      </c>
      <c r="J69" s="8">
        <f t="shared" si="31"/>
        <v>139.61150475850522</v>
      </c>
      <c r="K69" s="10">
        <f t="shared" si="32"/>
        <v>300.89576127320953</v>
      </c>
      <c r="L69" s="8">
        <f t="shared" si="33"/>
        <v>153.40506986391614</v>
      </c>
      <c r="M69" s="10">
        <f t="shared" si="34"/>
        <v>273.84042811671088</v>
      </c>
    </row>
    <row r="70" spans="1:13" x14ac:dyDescent="0.25">
      <c r="A70" s="1">
        <v>14500</v>
      </c>
      <c r="B70" s="8">
        <f t="shared" si="23"/>
        <v>62.699995174722339</v>
      </c>
      <c r="C70" s="10">
        <f t="shared" si="24"/>
        <v>642.68065004420873</v>
      </c>
      <c r="D70" s="8">
        <f t="shared" si="25"/>
        <v>91.650840404345033</v>
      </c>
      <c r="E70" s="10">
        <f t="shared" si="26"/>
        <v>439.66943978779847</v>
      </c>
      <c r="F70" s="8">
        <f t="shared" si="27"/>
        <v>114.68135364219782</v>
      </c>
      <c r="G70" s="10">
        <f t="shared" si="28"/>
        <v>351.37424155614508</v>
      </c>
      <c r="H70" s="8">
        <f t="shared" si="29"/>
        <v>133.86660635203287</v>
      </c>
      <c r="I70" s="10">
        <f t="shared" si="30"/>
        <v>301.0166221043325</v>
      </c>
      <c r="J70" s="8">
        <f t="shared" si="31"/>
        <v>149.95309770357966</v>
      </c>
      <c r="K70" s="10">
        <f t="shared" si="32"/>
        <v>268.72451635720603</v>
      </c>
      <c r="L70" s="8">
        <f t="shared" si="33"/>
        <v>164.76840837235437</v>
      </c>
      <c r="M70" s="10">
        <f t="shared" si="34"/>
        <v>244.56189177718838</v>
      </c>
    </row>
    <row r="71" spans="1:13" x14ac:dyDescent="0.25">
      <c r="A71" s="1">
        <v>15500</v>
      </c>
      <c r="B71" s="8">
        <f t="shared" si="23"/>
        <v>67.024132772979058</v>
      </c>
      <c r="C71" s="10">
        <f t="shared" si="24"/>
        <v>574.79184898320079</v>
      </c>
      <c r="D71" s="8">
        <f t="shared" si="25"/>
        <v>97.971588018437814</v>
      </c>
      <c r="E71" s="10">
        <f t="shared" si="26"/>
        <v>393.2254848806366</v>
      </c>
      <c r="F71" s="8">
        <f t="shared" si="27"/>
        <v>122.59041251407349</v>
      </c>
      <c r="G71" s="10">
        <f t="shared" si="28"/>
        <v>314.25724420866493</v>
      </c>
      <c r="H71" s="8">
        <f t="shared" si="29"/>
        <v>143.0987861004489</v>
      </c>
      <c r="I71" s="10">
        <f t="shared" si="30"/>
        <v>269.21909160035369</v>
      </c>
      <c r="J71" s="8">
        <f t="shared" si="31"/>
        <v>160.29469064865413</v>
      </c>
      <c r="K71" s="10">
        <f t="shared" si="32"/>
        <v>240.33812378426174</v>
      </c>
      <c r="L71" s="8">
        <f t="shared" si="33"/>
        <v>176.13174688079263</v>
      </c>
      <c r="M71" s="10">
        <f t="shared" si="34"/>
        <v>218.72788912466845</v>
      </c>
    </row>
    <row r="73" spans="1:13" x14ac:dyDescent="0.25">
      <c r="A73" s="3" t="s">
        <v>36</v>
      </c>
      <c r="B73" s="2" t="str">
        <f>C3</f>
        <v>R6 Track (50T)</v>
      </c>
    </row>
    <row r="74" spans="1:13" x14ac:dyDescent="0.25">
      <c r="A74" s="2" t="s">
        <v>37</v>
      </c>
      <c r="B74" t="s">
        <v>38</v>
      </c>
      <c r="C74" t="s">
        <v>39</v>
      </c>
      <c r="D74" t="s">
        <v>40</v>
      </c>
      <c r="E74" t="s">
        <v>41</v>
      </c>
      <c r="F74" t="s">
        <v>42</v>
      </c>
      <c r="G74" t="s">
        <v>43</v>
      </c>
      <c r="H74" t="s">
        <v>44</v>
      </c>
      <c r="I74" t="s">
        <v>45</v>
      </c>
      <c r="J74" t="s">
        <v>46</v>
      </c>
      <c r="K74" t="s">
        <v>47</v>
      </c>
      <c r="L74" t="s">
        <v>48</v>
      </c>
      <c r="M74" t="s">
        <v>49</v>
      </c>
    </row>
    <row r="75" spans="1:13" x14ac:dyDescent="0.25">
      <c r="A75" s="1">
        <v>3500</v>
      </c>
      <c r="B75" s="8">
        <f>A75/($C$27)*2*PI()*$C$23*60/1609000</f>
        <v>13.92372306638662</v>
      </c>
      <c r="C75" s="10">
        <f>C43*$C$27</f>
        <v>413.23618037135276</v>
      </c>
      <c r="D75" s="8">
        <f>A75/($C$28)*2*PI()*$C$23*60/1609000</f>
        <v>20.352807317378694</v>
      </c>
      <c r="E75" s="10">
        <f>C43*$C$28</f>
        <v>282.70233421750663</v>
      </c>
      <c r="F75" s="8">
        <f>A75/($C$29)*2*PI()*$C$23*60/1609000</f>
        <v>25.467169567439797</v>
      </c>
      <c r="G75" s="10">
        <f>C43*$C$29</f>
        <v>225.92954907161803</v>
      </c>
      <c r="H75" s="8">
        <f>A75/($C$30)*2*PI()*$C$23*60/1609000</f>
        <v>29.727618789899708</v>
      </c>
      <c r="I75" s="10">
        <f>C43*$C$30</f>
        <v>193.55018567639257</v>
      </c>
      <c r="J75" s="8">
        <f>A75/($C$31)*2*PI()*$C$23*60/1609000</f>
        <v>33.299929283139761</v>
      </c>
      <c r="K75" s="10">
        <f>C43*$C$31</f>
        <v>172.78673740053048</v>
      </c>
      <c r="L75" s="8">
        <f>A75/($C$32)*2*PI()*$C$23*60/1609000</f>
        <v>36.589949997171118</v>
      </c>
      <c r="M75" s="10">
        <f>C43*$C$32</f>
        <v>157.25045092838198</v>
      </c>
    </row>
    <row r="76" spans="1:13" x14ac:dyDescent="0.25">
      <c r="A76" s="1">
        <v>4500</v>
      </c>
      <c r="B76" s="8">
        <f t="shared" ref="B76:B87" si="35">A76/($C$27)*2*PI()*$C$23*60/1609000</f>
        <v>17.901929656782798</v>
      </c>
      <c r="C76" s="10">
        <f t="shared" ref="C76:C87" si="36">C44*$C$27</f>
        <v>546.06209549071616</v>
      </c>
      <c r="D76" s="8">
        <f t="shared" ref="D76:D87" si="37">A76/($C$28)*2*PI()*$C$23*60/1609000</f>
        <v>26.167895122344035</v>
      </c>
      <c r="E76" s="10">
        <f t="shared" ref="E76:E87" si="38">C44*$C$28</f>
        <v>373.57094164456237</v>
      </c>
      <c r="F76" s="8">
        <f t="shared" ref="F76:F87" si="39">A76/($C$29)*2*PI()*$C$23*60/1609000</f>
        <v>32.743503729565447</v>
      </c>
      <c r="G76" s="10">
        <f t="shared" ref="G76:G87" si="40">C44*$C$29</f>
        <v>298.54976127320958</v>
      </c>
      <c r="H76" s="8">
        <f t="shared" ref="H76:H87" si="41">A76/($C$30)*2*PI()*$C$23*60/1609000</f>
        <v>38.221224158442489</v>
      </c>
      <c r="I76" s="10">
        <f t="shared" ref="I76:I87" si="42">C44*$C$30</f>
        <v>255.76274535809023</v>
      </c>
      <c r="J76" s="8">
        <f t="shared" ref="J76:J87" si="43">A76/($C$31)*2*PI()*$C$23*60/1609000</f>
        <v>42.814194792608262</v>
      </c>
      <c r="K76" s="10">
        <f t="shared" ref="K76:K87" si="44">C44*$C$31</f>
        <v>228.32533156498673</v>
      </c>
      <c r="L76" s="8">
        <f t="shared" ref="L76:L87" si="45">A76/($C$32)*2*PI()*$C$23*60/1609000</f>
        <v>47.044221424934285</v>
      </c>
      <c r="M76" s="10">
        <f t="shared" ref="M76:M87" si="46">C44*$C$32</f>
        <v>207.79523872679047</v>
      </c>
    </row>
    <row r="77" spans="1:13" x14ac:dyDescent="0.25">
      <c r="A77" s="1">
        <v>5500</v>
      </c>
      <c r="B77" s="8">
        <f t="shared" si="35"/>
        <v>21.880136247178974</v>
      </c>
      <c r="C77" s="10">
        <f t="shared" si="36"/>
        <v>619.85427055702905</v>
      </c>
      <c r="D77" s="8">
        <f t="shared" si="37"/>
        <v>31.982982927309379</v>
      </c>
      <c r="E77" s="10">
        <f t="shared" si="38"/>
        <v>424.05350132625995</v>
      </c>
      <c r="F77" s="8">
        <f t="shared" si="39"/>
        <v>40.019837891691104</v>
      </c>
      <c r="G77" s="10">
        <f t="shared" si="40"/>
        <v>338.894323607427</v>
      </c>
      <c r="H77" s="8">
        <f t="shared" si="41"/>
        <v>46.714829526985262</v>
      </c>
      <c r="I77" s="10">
        <f t="shared" si="42"/>
        <v>290.32527851458883</v>
      </c>
      <c r="J77" s="8">
        <f t="shared" si="43"/>
        <v>52.328460302076778</v>
      </c>
      <c r="K77" s="10">
        <f t="shared" si="44"/>
        <v>259.18010610079574</v>
      </c>
      <c r="L77" s="8">
        <f t="shared" si="45"/>
        <v>57.498492852697467</v>
      </c>
      <c r="M77" s="10">
        <f t="shared" si="46"/>
        <v>235.87567639257296</v>
      </c>
    </row>
    <row r="78" spans="1:13" x14ac:dyDescent="0.25">
      <c r="A78" s="1">
        <v>6500</v>
      </c>
      <c r="B78" s="8">
        <f t="shared" si="35"/>
        <v>25.858342837575155</v>
      </c>
      <c r="C78" s="10">
        <f t="shared" si="36"/>
        <v>649.37114058355439</v>
      </c>
      <c r="D78" s="8">
        <f t="shared" si="37"/>
        <v>37.798070732274724</v>
      </c>
      <c r="E78" s="10">
        <f t="shared" si="38"/>
        <v>444.24652519893908</v>
      </c>
      <c r="F78" s="8">
        <f t="shared" si="39"/>
        <v>47.296172053816761</v>
      </c>
      <c r="G78" s="10">
        <f t="shared" si="40"/>
        <v>355.03214854111411</v>
      </c>
      <c r="H78" s="8">
        <f t="shared" si="41"/>
        <v>55.208434895528029</v>
      </c>
      <c r="I78" s="10">
        <f t="shared" si="42"/>
        <v>304.15029177718839</v>
      </c>
      <c r="J78" s="8">
        <f t="shared" si="43"/>
        <v>61.842725811545286</v>
      </c>
      <c r="K78" s="10">
        <f t="shared" si="44"/>
        <v>271.52201591511937</v>
      </c>
      <c r="L78" s="8">
        <f t="shared" si="45"/>
        <v>67.952764280460642</v>
      </c>
      <c r="M78" s="10">
        <f t="shared" si="46"/>
        <v>247.10785145888599</v>
      </c>
    </row>
    <row r="79" spans="1:13" x14ac:dyDescent="0.25">
      <c r="A79" s="1">
        <v>7500</v>
      </c>
      <c r="B79" s="8">
        <f t="shared" si="35"/>
        <v>29.836549427971331</v>
      </c>
      <c r="C79" s="10">
        <f t="shared" si="36"/>
        <v>678.88801061007962</v>
      </c>
      <c r="D79" s="8">
        <f t="shared" si="37"/>
        <v>43.613158537240047</v>
      </c>
      <c r="E79" s="10">
        <f t="shared" si="38"/>
        <v>464.4395490716181</v>
      </c>
      <c r="F79" s="8">
        <f t="shared" si="39"/>
        <v>54.572506215942411</v>
      </c>
      <c r="G79" s="10">
        <f t="shared" si="40"/>
        <v>371.16997347480111</v>
      </c>
      <c r="H79" s="8">
        <f t="shared" si="41"/>
        <v>63.702040264070803</v>
      </c>
      <c r="I79" s="10">
        <f t="shared" si="42"/>
        <v>317.97530503978783</v>
      </c>
      <c r="J79" s="8">
        <f t="shared" si="43"/>
        <v>71.35699132101378</v>
      </c>
      <c r="K79" s="10">
        <f t="shared" si="44"/>
        <v>283.863925729443</v>
      </c>
      <c r="L79" s="8">
        <f t="shared" si="45"/>
        <v>78.407035708223816</v>
      </c>
      <c r="M79" s="10">
        <f t="shared" si="46"/>
        <v>258.34002652519899</v>
      </c>
    </row>
    <row r="80" spans="1:13" x14ac:dyDescent="0.25">
      <c r="A80" s="1">
        <v>8500</v>
      </c>
      <c r="B80" s="8">
        <f t="shared" si="35"/>
        <v>33.814756018367504</v>
      </c>
      <c r="C80" s="10">
        <f t="shared" si="36"/>
        <v>693.64644562334217</v>
      </c>
      <c r="D80" s="8">
        <f t="shared" si="37"/>
        <v>49.428246342205384</v>
      </c>
      <c r="E80" s="10">
        <f t="shared" si="38"/>
        <v>474.53606100795758</v>
      </c>
      <c r="F80" s="8">
        <f t="shared" si="39"/>
        <v>61.848840378068068</v>
      </c>
      <c r="G80" s="10">
        <f t="shared" si="40"/>
        <v>379.23888594164453</v>
      </c>
      <c r="H80" s="8">
        <f t="shared" si="41"/>
        <v>72.195645632613591</v>
      </c>
      <c r="I80" s="10">
        <f t="shared" si="42"/>
        <v>324.88781167108755</v>
      </c>
      <c r="J80" s="8">
        <f t="shared" si="43"/>
        <v>80.871256830482281</v>
      </c>
      <c r="K80" s="10">
        <f t="shared" si="44"/>
        <v>290.03488063660473</v>
      </c>
      <c r="L80" s="8">
        <f t="shared" si="45"/>
        <v>88.861307135986991</v>
      </c>
      <c r="M80" s="10">
        <f t="shared" si="46"/>
        <v>263.95611405835547</v>
      </c>
    </row>
    <row r="81" spans="1:13" x14ac:dyDescent="0.25">
      <c r="A81" s="1">
        <v>9500</v>
      </c>
      <c r="B81" s="8">
        <f t="shared" si="35"/>
        <v>37.792962608763681</v>
      </c>
      <c r="C81" s="10">
        <f t="shared" si="36"/>
        <v>811.71392572944285</v>
      </c>
      <c r="D81" s="8">
        <f t="shared" si="37"/>
        <v>55.243334147170742</v>
      </c>
      <c r="E81" s="10">
        <f t="shared" si="38"/>
        <v>555.30815649867372</v>
      </c>
      <c r="F81" s="8">
        <f t="shared" si="39"/>
        <v>69.125174540193726</v>
      </c>
      <c r="G81" s="10">
        <f t="shared" si="40"/>
        <v>443.79018567639253</v>
      </c>
      <c r="H81" s="8">
        <f t="shared" si="41"/>
        <v>80.68925100115635</v>
      </c>
      <c r="I81" s="10">
        <f t="shared" si="42"/>
        <v>380.18786472148543</v>
      </c>
      <c r="J81" s="8">
        <f t="shared" si="43"/>
        <v>90.385522339950782</v>
      </c>
      <c r="K81" s="10">
        <f t="shared" si="44"/>
        <v>339.40251989389918</v>
      </c>
      <c r="L81" s="8">
        <f t="shared" si="45"/>
        <v>99.315578563750137</v>
      </c>
      <c r="M81" s="10">
        <f t="shared" si="46"/>
        <v>308.88481432360743</v>
      </c>
    </row>
    <row r="82" spans="1:13" x14ac:dyDescent="0.25">
      <c r="A82" s="1">
        <v>10500</v>
      </c>
      <c r="B82" s="8">
        <f t="shared" si="35"/>
        <v>41.771169199159864</v>
      </c>
      <c r="C82" s="10">
        <f t="shared" si="36"/>
        <v>826.47236074270552</v>
      </c>
      <c r="D82" s="8">
        <f t="shared" si="37"/>
        <v>61.058421952136079</v>
      </c>
      <c r="E82" s="10">
        <f t="shared" si="38"/>
        <v>565.40466843501326</v>
      </c>
      <c r="F82" s="8">
        <f t="shared" si="39"/>
        <v>76.401508702319362</v>
      </c>
      <c r="G82" s="10">
        <f t="shared" si="40"/>
        <v>451.85909814323605</v>
      </c>
      <c r="H82" s="8">
        <f t="shared" si="41"/>
        <v>89.182856369699124</v>
      </c>
      <c r="I82" s="10">
        <f t="shared" si="42"/>
        <v>387.10037135278515</v>
      </c>
      <c r="J82" s="8">
        <f t="shared" si="43"/>
        <v>99.899787849419312</v>
      </c>
      <c r="K82" s="10">
        <f t="shared" si="44"/>
        <v>345.57347480106097</v>
      </c>
      <c r="L82" s="8">
        <f t="shared" si="45"/>
        <v>109.76984999151333</v>
      </c>
      <c r="M82" s="10">
        <f t="shared" si="46"/>
        <v>314.50090185676396</v>
      </c>
    </row>
    <row r="83" spans="1:13" x14ac:dyDescent="0.25">
      <c r="A83" s="1">
        <v>11500</v>
      </c>
      <c r="B83" s="8">
        <f t="shared" si="35"/>
        <v>45.749375789556041</v>
      </c>
      <c r="C83" s="10">
        <f t="shared" si="36"/>
        <v>831.3918390804597</v>
      </c>
      <c r="D83" s="8">
        <f t="shared" si="37"/>
        <v>66.873509757101431</v>
      </c>
      <c r="E83" s="10">
        <f t="shared" si="38"/>
        <v>568.77017241379303</v>
      </c>
      <c r="F83" s="8">
        <f t="shared" si="39"/>
        <v>83.677842864445026</v>
      </c>
      <c r="G83" s="10">
        <f t="shared" si="40"/>
        <v>454.54873563218388</v>
      </c>
      <c r="H83" s="8">
        <f t="shared" si="41"/>
        <v>97.676461738241912</v>
      </c>
      <c r="I83" s="10">
        <f t="shared" si="42"/>
        <v>389.40454022988507</v>
      </c>
      <c r="J83" s="8">
        <f t="shared" si="43"/>
        <v>109.4140533588878</v>
      </c>
      <c r="K83" s="10">
        <f t="shared" si="44"/>
        <v>347.6304597701149</v>
      </c>
      <c r="L83" s="8">
        <f t="shared" si="45"/>
        <v>120.22412141927653</v>
      </c>
      <c r="M83" s="10">
        <f t="shared" si="46"/>
        <v>316.37293103448275</v>
      </c>
    </row>
    <row r="84" spans="1:13" x14ac:dyDescent="0.25">
      <c r="A84" s="1">
        <v>12500</v>
      </c>
      <c r="B84" s="8">
        <f t="shared" si="35"/>
        <v>49.727582379952224</v>
      </c>
      <c r="C84" s="10">
        <f t="shared" si="36"/>
        <v>831.3918390804597</v>
      </c>
      <c r="D84" s="8">
        <f t="shared" si="37"/>
        <v>72.688597562066761</v>
      </c>
      <c r="E84" s="10">
        <f t="shared" si="38"/>
        <v>568.77017241379303</v>
      </c>
      <c r="F84" s="8">
        <f t="shared" si="39"/>
        <v>90.954177026570676</v>
      </c>
      <c r="G84" s="10">
        <f t="shared" si="40"/>
        <v>454.54873563218388</v>
      </c>
      <c r="H84" s="8">
        <f t="shared" si="41"/>
        <v>106.17006710678469</v>
      </c>
      <c r="I84" s="10">
        <f t="shared" si="42"/>
        <v>389.40454022988507</v>
      </c>
      <c r="J84" s="8">
        <f t="shared" si="43"/>
        <v>118.9283188683563</v>
      </c>
      <c r="K84" s="10">
        <f t="shared" si="44"/>
        <v>347.6304597701149</v>
      </c>
      <c r="L84" s="8">
        <f t="shared" si="45"/>
        <v>130.67839284703967</v>
      </c>
      <c r="M84" s="10">
        <f t="shared" si="46"/>
        <v>316.37293103448275</v>
      </c>
    </row>
    <row r="85" spans="1:13" x14ac:dyDescent="0.25">
      <c r="A85" s="1">
        <v>13500</v>
      </c>
      <c r="B85" s="8">
        <f t="shared" si="35"/>
        <v>53.705788970348394</v>
      </c>
      <c r="C85" s="10">
        <f t="shared" si="36"/>
        <v>782.19705570291774</v>
      </c>
      <c r="D85" s="8">
        <f t="shared" si="37"/>
        <v>78.503685367032105</v>
      </c>
      <c r="E85" s="10">
        <f t="shared" si="38"/>
        <v>535.11513262599465</v>
      </c>
      <c r="F85" s="8">
        <f t="shared" si="39"/>
        <v>98.23051118869634</v>
      </c>
      <c r="G85" s="10">
        <f t="shared" si="40"/>
        <v>427.65236074270553</v>
      </c>
      <c r="H85" s="8">
        <f t="shared" si="41"/>
        <v>114.66367247532746</v>
      </c>
      <c r="I85" s="10">
        <f t="shared" si="42"/>
        <v>366.36285145888593</v>
      </c>
      <c r="J85" s="8">
        <f t="shared" si="43"/>
        <v>128.44258437782483</v>
      </c>
      <c r="K85" s="10">
        <f t="shared" si="44"/>
        <v>327.06061007957555</v>
      </c>
      <c r="L85" s="8">
        <f t="shared" si="45"/>
        <v>141.13266427480286</v>
      </c>
      <c r="M85" s="10">
        <f t="shared" si="46"/>
        <v>297.65263925729442</v>
      </c>
    </row>
    <row r="86" spans="1:13" x14ac:dyDescent="0.25">
      <c r="A86" s="1">
        <v>14500</v>
      </c>
      <c r="B86" s="8">
        <f t="shared" si="35"/>
        <v>57.68399556074457</v>
      </c>
      <c r="C86" s="10">
        <f t="shared" si="36"/>
        <v>698.56592396109636</v>
      </c>
      <c r="D86" s="8">
        <f t="shared" si="37"/>
        <v>84.318773171997449</v>
      </c>
      <c r="E86" s="10">
        <f t="shared" si="38"/>
        <v>477.90156498673747</v>
      </c>
      <c r="F86" s="8">
        <f t="shared" si="39"/>
        <v>105.506845350822</v>
      </c>
      <c r="G86" s="10">
        <f t="shared" si="40"/>
        <v>381.92852343059241</v>
      </c>
      <c r="H86" s="8">
        <f t="shared" si="41"/>
        <v>123.15727784387026</v>
      </c>
      <c r="I86" s="10">
        <f t="shared" si="42"/>
        <v>327.19198054818747</v>
      </c>
      <c r="J86" s="8">
        <f t="shared" si="43"/>
        <v>137.95684988729332</v>
      </c>
      <c r="K86" s="10">
        <f t="shared" si="44"/>
        <v>292.09186560565871</v>
      </c>
      <c r="L86" s="8">
        <f t="shared" si="45"/>
        <v>151.58693570256602</v>
      </c>
      <c r="M86" s="10">
        <f t="shared" si="46"/>
        <v>265.82814323607431</v>
      </c>
    </row>
    <row r="87" spans="1:13" x14ac:dyDescent="0.25">
      <c r="A87" s="1">
        <v>15500</v>
      </c>
      <c r="B87" s="8">
        <f t="shared" si="35"/>
        <v>61.662202151140747</v>
      </c>
      <c r="C87" s="10">
        <f t="shared" si="36"/>
        <v>624.77374889478335</v>
      </c>
      <c r="D87" s="8">
        <f t="shared" si="37"/>
        <v>90.133860976962794</v>
      </c>
      <c r="E87" s="10">
        <f t="shared" si="38"/>
        <v>427.41900530503983</v>
      </c>
      <c r="F87" s="8">
        <f t="shared" si="39"/>
        <v>112.78317951294765</v>
      </c>
      <c r="G87" s="10">
        <f t="shared" si="40"/>
        <v>341.58396109637488</v>
      </c>
      <c r="H87" s="8">
        <f t="shared" si="41"/>
        <v>131.65088321241299</v>
      </c>
      <c r="I87" s="10">
        <f t="shared" si="42"/>
        <v>292.62944739168881</v>
      </c>
      <c r="J87" s="8">
        <f t="shared" si="43"/>
        <v>147.4711153967618</v>
      </c>
      <c r="K87" s="10">
        <f t="shared" si="44"/>
        <v>261.23709106984967</v>
      </c>
      <c r="L87" s="8">
        <f t="shared" si="45"/>
        <v>162.04120713032921</v>
      </c>
      <c r="M87" s="10">
        <f t="shared" si="46"/>
        <v>237.7477055702918</v>
      </c>
    </row>
    <row r="88" spans="1:13" x14ac:dyDescent="0.25">
      <c r="A88" s="2"/>
      <c r="B88" s="3"/>
    </row>
    <row r="89" spans="1:13" x14ac:dyDescent="0.25">
      <c r="A89" s="3" t="s">
        <v>36</v>
      </c>
      <c r="B89" s="2" t="str">
        <f>D3</f>
        <v>01 F4i Track</v>
      </c>
    </row>
    <row r="90" spans="1:13" x14ac:dyDescent="0.25">
      <c r="A90" s="2" t="s">
        <v>37</v>
      </c>
      <c r="B90" t="s">
        <v>38</v>
      </c>
      <c r="C90" t="s">
        <v>39</v>
      </c>
      <c r="D90" t="s">
        <v>40</v>
      </c>
      <c r="E90" t="s">
        <v>41</v>
      </c>
      <c r="F90" t="s">
        <v>42</v>
      </c>
      <c r="G90" t="s">
        <v>43</v>
      </c>
      <c r="H90" t="s">
        <v>44</v>
      </c>
      <c r="I90" t="s">
        <v>45</v>
      </c>
      <c r="J90" t="s">
        <v>46</v>
      </c>
      <c r="K90" t="s">
        <v>47</v>
      </c>
      <c r="L90" t="s">
        <v>48</v>
      </c>
      <c r="M90" t="s">
        <v>49</v>
      </c>
    </row>
    <row r="91" spans="1:13" x14ac:dyDescent="0.25">
      <c r="A91" s="1">
        <v>3500</v>
      </c>
      <c r="B91" s="8">
        <f>A91/($D$27)*2*PI()*$D$23*60/1609000</f>
        <v>13.771085836312659</v>
      </c>
      <c r="C91" s="10">
        <f>D43*$D$27</f>
        <v>496.37647058823541</v>
      </c>
      <c r="D91" s="8">
        <f>A91/($D$28)*2*PI()*$D$23*60/1609000</f>
        <v>19.195661988770738</v>
      </c>
      <c r="E91" s="10">
        <f>D43*$D$28</f>
        <v>356.10352941176473</v>
      </c>
      <c r="F91" s="8">
        <f>A91/($D$29)*2*PI()*$D$23*60/1609000</f>
        <v>25.345026068088</v>
      </c>
      <c r="G91" s="10">
        <f>D43*$D$29</f>
        <v>269.70352941176475</v>
      </c>
      <c r="H91" s="8">
        <f>A91/($D$30)*2*PI()*$D$23*60/1609000</f>
        <v>29.302310457803991</v>
      </c>
      <c r="I91" s="10">
        <f>D43*$D$30</f>
        <v>233.28000000000006</v>
      </c>
      <c r="J91" s="8">
        <f>A91/($D$31)*2*PI()*$D$23*60/1609000</f>
        <v>33.90695924403034</v>
      </c>
      <c r="K91" s="10">
        <f>D43*$D$31</f>
        <v>201.6</v>
      </c>
      <c r="L91" s="8">
        <f>A91/($D$32)*2*PI()*$D$23*60/1609000</f>
        <v>37.534215349205667</v>
      </c>
      <c r="M91" s="10">
        <f>D43*$D$32</f>
        <v>182.11764705882354</v>
      </c>
    </row>
    <row r="92" spans="1:13" x14ac:dyDescent="0.25">
      <c r="A92" s="1">
        <v>4500</v>
      </c>
      <c r="B92" s="8">
        <f t="shared" ref="B92:B103" si="47">A92/($D$27)*2*PI()*$D$23*60/1609000</f>
        <v>17.705681789544848</v>
      </c>
      <c r="C92" s="10">
        <f t="shared" ref="C92:C102" si="48">D44*$D$27</f>
        <v>534.98352941176483</v>
      </c>
      <c r="D92" s="8">
        <f t="shared" ref="D92:D103" si="49">A92/($D$28)*2*PI()*$D$23*60/1609000</f>
        <v>24.680136842705235</v>
      </c>
      <c r="E92" s="10">
        <f t="shared" ref="E92:E102" si="50">D44*$D$28</f>
        <v>383.80047058823533</v>
      </c>
      <c r="F92" s="8">
        <f t="shared" ref="F92:F103" si="51">A92/($D$29)*2*PI()*$D$23*60/1609000</f>
        <v>32.586462087541705</v>
      </c>
      <c r="G92" s="10">
        <f t="shared" ref="G92:G102" si="52">D44*$D$29</f>
        <v>290.68047058823532</v>
      </c>
      <c r="H92" s="8">
        <f t="shared" ref="H92:H103" si="53">A92/($D$30)*2*PI()*$D$23*60/1609000</f>
        <v>37.674399160033701</v>
      </c>
      <c r="I92" s="10">
        <f t="shared" ref="I92:I102" si="54">D44*$D$30</f>
        <v>251.42400000000004</v>
      </c>
      <c r="J92" s="8">
        <f t="shared" ref="J92:J103" si="55">A92/($D$31)*2*PI()*$D$23*60/1609000</f>
        <v>43.594661885181864</v>
      </c>
      <c r="K92" s="10">
        <f t="shared" ref="K92:K102" si="56">D44*$D$31</f>
        <v>217.28</v>
      </c>
      <c r="L92" s="8">
        <f t="shared" ref="L92:L103" si="57">A92/($D$32)*2*PI()*$D$23*60/1609000</f>
        <v>48.258276877550138</v>
      </c>
      <c r="M92" s="10">
        <f t="shared" ref="M92:M102" si="58">D44*$D$32</f>
        <v>196.28235294117647</v>
      </c>
    </row>
    <row r="93" spans="1:13" x14ac:dyDescent="0.25">
      <c r="A93" s="1">
        <v>5500</v>
      </c>
      <c r="B93" s="8">
        <f t="shared" si="47"/>
        <v>21.64027774277703</v>
      </c>
      <c r="C93" s="10">
        <f t="shared" si="48"/>
        <v>546.01411764705892</v>
      </c>
      <c r="D93" s="8">
        <f t="shared" si="49"/>
        <v>30.164611696639735</v>
      </c>
      <c r="E93" s="10">
        <f t="shared" si="50"/>
        <v>391.71388235294114</v>
      </c>
      <c r="F93" s="8">
        <f t="shared" si="51"/>
        <v>39.827898106995427</v>
      </c>
      <c r="G93" s="10">
        <f t="shared" si="52"/>
        <v>296.67388235294118</v>
      </c>
      <c r="H93" s="8">
        <f t="shared" si="53"/>
        <v>46.046487862263412</v>
      </c>
      <c r="I93" s="10">
        <f t="shared" si="54"/>
        <v>256.608</v>
      </c>
      <c r="J93" s="8">
        <f t="shared" si="55"/>
        <v>53.282364526333382</v>
      </c>
      <c r="K93" s="10">
        <f t="shared" si="56"/>
        <v>221.76</v>
      </c>
      <c r="L93" s="8">
        <f t="shared" si="57"/>
        <v>58.982338405894623</v>
      </c>
      <c r="M93" s="10">
        <f t="shared" si="58"/>
        <v>200.32941176470587</v>
      </c>
    </row>
    <row r="94" spans="1:13" x14ac:dyDescent="0.25">
      <c r="A94" s="1">
        <v>6500</v>
      </c>
      <c r="B94" s="8">
        <f t="shared" si="47"/>
        <v>25.574873696009227</v>
      </c>
      <c r="C94" s="10">
        <f t="shared" si="48"/>
        <v>656.32</v>
      </c>
      <c r="D94" s="8">
        <f t="shared" si="49"/>
        <v>35.649086550574232</v>
      </c>
      <c r="E94" s="10">
        <f t="shared" si="50"/>
        <v>470.84800000000001</v>
      </c>
      <c r="F94" s="8">
        <f t="shared" si="51"/>
        <v>47.069334126449135</v>
      </c>
      <c r="G94" s="10">
        <f t="shared" si="52"/>
        <v>356.608</v>
      </c>
      <c r="H94" s="8">
        <f t="shared" si="53"/>
        <v>54.418576564493122</v>
      </c>
      <c r="I94" s="10">
        <f t="shared" si="54"/>
        <v>308.44800000000004</v>
      </c>
      <c r="J94" s="8">
        <f t="shared" si="55"/>
        <v>62.970067167484892</v>
      </c>
      <c r="K94" s="10">
        <f t="shared" si="56"/>
        <v>266.56</v>
      </c>
      <c r="L94" s="8">
        <f t="shared" si="57"/>
        <v>69.706399934239101</v>
      </c>
      <c r="M94" s="10">
        <f t="shared" si="58"/>
        <v>240.79999999999998</v>
      </c>
    </row>
    <row r="95" spans="1:13" x14ac:dyDescent="0.25">
      <c r="A95" s="1">
        <v>7500</v>
      </c>
      <c r="B95" s="8">
        <f t="shared" si="47"/>
        <v>29.50946964924141</v>
      </c>
      <c r="C95" s="10">
        <f t="shared" si="48"/>
        <v>722.50352941176482</v>
      </c>
      <c r="D95" s="8">
        <f t="shared" si="49"/>
        <v>41.133561404508725</v>
      </c>
      <c r="E95" s="10">
        <f t="shared" si="50"/>
        <v>518.32847058823529</v>
      </c>
      <c r="F95" s="8">
        <f t="shared" si="51"/>
        <v>54.310770145902858</v>
      </c>
      <c r="G95" s="10">
        <f t="shared" si="52"/>
        <v>392.56847058823536</v>
      </c>
      <c r="H95" s="8">
        <f t="shared" si="53"/>
        <v>62.790665266722833</v>
      </c>
      <c r="I95" s="10">
        <f t="shared" si="54"/>
        <v>339.55200000000008</v>
      </c>
      <c r="J95" s="8">
        <f t="shared" si="55"/>
        <v>72.657769808636431</v>
      </c>
      <c r="K95" s="10">
        <f t="shared" si="56"/>
        <v>293.44</v>
      </c>
      <c r="L95" s="8">
        <f t="shared" si="57"/>
        <v>80.430461462583594</v>
      </c>
      <c r="M95" s="10">
        <f t="shared" si="58"/>
        <v>265.08235294117645</v>
      </c>
    </row>
    <row r="96" spans="1:13" x14ac:dyDescent="0.25">
      <c r="A96" s="1">
        <v>8500</v>
      </c>
      <c r="B96" s="8">
        <f t="shared" si="47"/>
        <v>33.4440656024736</v>
      </c>
      <c r="C96" s="10">
        <f t="shared" si="48"/>
        <v>722.50352941176482</v>
      </c>
      <c r="D96" s="8">
        <f t="shared" si="49"/>
        <v>46.618036258443226</v>
      </c>
      <c r="E96" s="10">
        <f t="shared" si="50"/>
        <v>518.32847058823529</v>
      </c>
      <c r="F96" s="8">
        <f t="shared" si="51"/>
        <v>61.552206165356566</v>
      </c>
      <c r="G96" s="10">
        <f t="shared" si="52"/>
        <v>392.56847058823536</v>
      </c>
      <c r="H96" s="8">
        <f t="shared" si="53"/>
        <v>71.162753968952543</v>
      </c>
      <c r="I96" s="10">
        <f t="shared" si="54"/>
        <v>339.55200000000008</v>
      </c>
      <c r="J96" s="8">
        <f t="shared" si="55"/>
        <v>82.345472449787962</v>
      </c>
      <c r="K96" s="10">
        <f t="shared" si="56"/>
        <v>293.44</v>
      </c>
      <c r="L96" s="8">
        <f t="shared" si="57"/>
        <v>91.154522990928072</v>
      </c>
      <c r="M96" s="10">
        <f t="shared" si="58"/>
        <v>265.08235294117645</v>
      </c>
    </row>
    <row r="97" spans="1:13" x14ac:dyDescent="0.25">
      <c r="A97" s="1">
        <v>9500</v>
      </c>
      <c r="B97" s="8">
        <f t="shared" si="47"/>
        <v>37.37866155570579</v>
      </c>
      <c r="C97" s="10">
        <f t="shared" si="48"/>
        <v>766.62588235294129</v>
      </c>
      <c r="D97" s="8">
        <f t="shared" si="49"/>
        <v>52.102511112377712</v>
      </c>
      <c r="E97" s="10">
        <f t="shared" si="50"/>
        <v>549.98211764705877</v>
      </c>
      <c r="F97" s="8">
        <f t="shared" si="51"/>
        <v>68.793642184810281</v>
      </c>
      <c r="G97" s="10">
        <f t="shared" si="52"/>
        <v>416.54211764705883</v>
      </c>
      <c r="H97" s="8">
        <f t="shared" si="53"/>
        <v>79.534842671182247</v>
      </c>
      <c r="I97" s="10">
        <f t="shared" si="54"/>
        <v>360.28800000000007</v>
      </c>
      <c r="J97" s="8">
        <f t="shared" si="55"/>
        <v>92.03317509093948</v>
      </c>
      <c r="K97" s="10">
        <f t="shared" si="56"/>
        <v>311.36</v>
      </c>
      <c r="L97" s="8">
        <f t="shared" si="57"/>
        <v>101.87858451927255</v>
      </c>
      <c r="M97" s="10">
        <f t="shared" si="58"/>
        <v>281.2705882352941</v>
      </c>
    </row>
    <row r="98" spans="1:13" x14ac:dyDescent="0.25">
      <c r="A98" s="1">
        <v>10500</v>
      </c>
      <c r="B98" s="8">
        <f t="shared" si="47"/>
        <v>41.31325750893798</v>
      </c>
      <c r="C98" s="10">
        <f t="shared" si="48"/>
        <v>783.17176470588242</v>
      </c>
      <c r="D98" s="8">
        <f t="shared" si="49"/>
        <v>57.58698596631222</v>
      </c>
      <c r="E98" s="10">
        <f t="shared" si="50"/>
        <v>561.85223529411769</v>
      </c>
      <c r="F98" s="8">
        <f t="shared" si="51"/>
        <v>76.035078204263996</v>
      </c>
      <c r="G98" s="10">
        <f t="shared" si="52"/>
        <v>425.5322352941177</v>
      </c>
      <c r="H98" s="8">
        <f t="shared" si="53"/>
        <v>87.90693137341195</v>
      </c>
      <c r="I98" s="10">
        <f t="shared" si="54"/>
        <v>368.06400000000008</v>
      </c>
      <c r="J98" s="8">
        <f t="shared" si="55"/>
        <v>101.72087773209101</v>
      </c>
      <c r="K98" s="10">
        <f t="shared" si="56"/>
        <v>318.08</v>
      </c>
      <c r="L98" s="8">
        <f t="shared" si="57"/>
        <v>112.602646047617</v>
      </c>
      <c r="M98" s="10">
        <f t="shared" si="58"/>
        <v>287.34117647058821</v>
      </c>
    </row>
    <row r="99" spans="1:13" x14ac:dyDescent="0.25">
      <c r="A99" s="1">
        <v>11500</v>
      </c>
      <c r="B99" s="8">
        <f t="shared" si="47"/>
        <v>45.247853462170163</v>
      </c>
      <c r="C99" s="10">
        <f t="shared" si="48"/>
        <v>772.14117647058833</v>
      </c>
      <c r="D99" s="8">
        <f t="shared" si="49"/>
        <v>63.07146082024672</v>
      </c>
      <c r="E99" s="10">
        <f t="shared" si="50"/>
        <v>553.93882352941182</v>
      </c>
      <c r="F99" s="8">
        <f t="shared" si="51"/>
        <v>83.276514223717712</v>
      </c>
      <c r="G99" s="10">
        <f t="shared" si="52"/>
        <v>419.53882352941184</v>
      </c>
      <c r="H99" s="8">
        <f t="shared" si="53"/>
        <v>96.279020075641668</v>
      </c>
      <c r="I99" s="10">
        <f t="shared" si="54"/>
        <v>362.88000000000005</v>
      </c>
      <c r="J99" s="8">
        <f t="shared" si="55"/>
        <v>111.40858037324253</v>
      </c>
      <c r="K99" s="10">
        <f t="shared" si="56"/>
        <v>313.60000000000002</v>
      </c>
      <c r="L99" s="8">
        <f t="shared" si="57"/>
        <v>123.32670757596149</v>
      </c>
      <c r="M99" s="10">
        <f t="shared" si="58"/>
        <v>283.29411764705884</v>
      </c>
    </row>
    <row r="100" spans="1:13" x14ac:dyDescent="0.25">
      <c r="A100" s="1">
        <v>12500</v>
      </c>
      <c r="B100" s="8">
        <f t="shared" si="47"/>
        <v>49.182449415402353</v>
      </c>
      <c r="C100" s="10">
        <f t="shared" si="48"/>
        <v>744.564705882353</v>
      </c>
      <c r="D100" s="8">
        <f t="shared" si="49"/>
        <v>68.555935674181214</v>
      </c>
      <c r="E100" s="10">
        <f t="shared" si="50"/>
        <v>534.15529411764703</v>
      </c>
      <c r="F100" s="8">
        <f t="shared" si="51"/>
        <v>90.517950243171398</v>
      </c>
      <c r="G100" s="10">
        <f t="shared" si="52"/>
        <v>404.55529411764707</v>
      </c>
      <c r="H100" s="8">
        <f t="shared" si="53"/>
        <v>104.65110877787139</v>
      </c>
      <c r="I100" s="10">
        <f t="shared" si="54"/>
        <v>349.92</v>
      </c>
      <c r="J100" s="8">
        <f t="shared" si="55"/>
        <v>121.09628301439405</v>
      </c>
      <c r="K100" s="10">
        <f t="shared" si="56"/>
        <v>302.39999999999998</v>
      </c>
      <c r="L100" s="8">
        <f t="shared" si="57"/>
        <v>134.05076910430597</v>
      </c>
      <c r="M100" s="10">
        <f t="shared" si="58"/>
        <v>273.17647058823525</v>
      </c>
    </row>
    <row r="101" spans="1:13" x14ac:dyDescent="0.25">
      <c r="A101" s="1">
        <v>13500</v>
      </c>
      <c r="B101" s="8">
        <f t="shared" si="47"/>
        <v>53.117045368634543</v>
      </c>
      <c r="C101" s="10">
        <f t="shared" si="48"/>
        <v>672.8658823529413</v>
      </c>
      <c r="D101" s="8">
        <f t="shared" si="49"/>
        <v>74.040410528115714</v>
      </c>
      <c r="E101" s="10">
        <f t="shared" si="50"/>
        <v>482.71811764705882</v>
      </c>
      <c r="F101" s="8">
        <f t="shared" si="51"/>
        <v>97.759386262625142</v>
      </c>
      <c r="G101" s="10">
        <f t="shared" si="52"/>
        <v>365.59811764705887</v>
      </c>
      <c r="H101" s="8">
        <f t="shared" si="53"/>
        <v>113.0231974801011</v>
      </c>
      <c r="I101" s="10">
        <f t="shared" si="54"/>
        <v>316.22400000000005</v>
      </c>
      <c r="J101" s="8">
        <f t="shared" si="55"/>
        <v>130.78398565554556</v>
      </c>
      <c r="K101" s="10">
        <f t="shared" si="56"/>
        <v>273.27999999999997</v>
      </c>
      <c r="L101" s="8">
        <f t="shared" si="57"/>
        <v>144.77483063265043</v>
      </c>
      <c r="M101" s="10">
        <f t="shared" si="58"/>
        <v>246.87058823529412</v>
      </c>
    </row>
    <row r="102" spans="1:13" x14ac:dyDescent="0.25">
      <c r="A102" s="1">
        <v>14500</v>
      </c>
      <c r="B102" s="8">
        <f t="shared" si="47"/>
        <v>57.051641321866732</v>
      </c>
      <c r="C102" s="10">
        <f t="shared" si="48"/>
        <v>573.59058823529426</v>
      </c>
      <c r="D102" s="8">
        <f t="shared" si="49"/>
        <v>79.524885382050201</v>
      </c>
      <c r="E102" s="10">
        <f t="shared" si="50"/>
        <v>411.49741176470587</v>
      </c>
      <c r="F102" s="8">
        <f t="shared" si="51"/>
        <v>105.00082228207884</v>
      </c>
      <c r="G102" s="10">
        <f t="shared" si="52"/>
        <v>311.6574117647059</v>
      </c>
      <c r="H102" s="8">
        <f t="shared" si="53"/>
        <v>121.39528618233081</v>
      </c>
      <c r="I102" s="10">
        <f t="shared" si="54"/>
        <v>269.56800000000004</v>
      </c>
      <c r="J102" s="8">
        <f t="shared" si="55"/>
        <v>140.4716882966971</v>
      </c>
      <c r="K102" s="10">
        <f t="shared" si="56"/>
        <v>232.96</v>
      </c>
      <c r="L102" s="8">
        <f t="shared" si="57"/>
        <v>155.49889216099493</v>
      </c>
      <c r="M102" s="10">
        <f t="shared" si="58"/>
        <v>210.44705882352943</v>
      </c>
    </row>
    <row r="103" spans="1:13" x14ac:dyDescent="0.25">
      <c r="A103" s="1">
        <v>15500</v>
      </c>
      <c r="B103" s="8">
        <f t="shared" si="47"/>
        <v>60.986237275098915</v>
      </c>
      <c r="C103" s="10"/>
      <c r="D103" s="8">
        <f t="shared" si="49"/>
        <v>85.009360235984701</v>
      </c>
      <c r="E103" s="10"/>
      <c r="F103" s="8">
        <f t="shared" si="51"/>
        <v>112.24225830153254</v>
      </c>
      <c r="G103" s="10"/>
      <c r="H103" s="8">
        <f t="shared" si="53"/>
        <v>129.76737488456052</v>
      </c>
      <c r="I103" s="10"/>
      <c r="J103" s="8">
        <f t="shared" si="55"/>
        <v>150.1593909378486</v>
      </c>
      <c r="K103" s="10"/>
      <c r="L103" s="8">
        <f t="shared" si="57"/>
        <v>166.22295368933939</v>
      </c>
      <c r="M103" s="10"/>
    </row>
    <row r="105" spans="1:13" x14ac:dyDescent="0.25">
      <c r="A105" s="3" t="s">
        <v>36</v>
      </c>
      <c r="B105" s="2" t="str">
        <f>E3</f>
        <v>2002 RC51</v>
      </c>
    </row>
    <row r="106" spans="1:13" x14ac:dyDescent="0.25">
      <c r="A106" s="2" t="s">
        <v>37</v>
      </c>
      <c r="B106" t="s">
        <v>38</v>
      </c>
      <c r="C106" t="s">
        <v>39</v>
      </c>
      <c r="D106" t="s">
        <v>40</v>
      </c>
      <c r="E106" t="s">
        <v>41</v>
      </c>
      <c r="F106" t="s">
        <v>42</v>
      </c>
      <c r="G106" t="s">
        <v>43</v>
      </c>
      <c r="H106" t="s">
        <v>44</v>
      </c>
      <c r="I106" t="s">
        <v>45</v>
      </c>
      <c r="J106" t="s">
        <v>46</v>
      </c>
      <c r="K106" t="s">
        <v>47</v>
      </c>
      <c r="L106" t="s">
        <v>48</v>
      </c>
      <c r="M106" t="s">
        <v>49</v>
      </c>
    </row>
    <row r="107" spans="1:13" x14ac:dyDescent="0.25">
      <c r="A107" s="1">
        <v>3500</v>
      </c>
      <c r="B107" s="8">
        <f>A107/($E$27)*2*PI()*$E$23*60/1609000</f>
        <v>20.775616537986302</v>
      </c>
      <c r="C107" s="10">
        <f>E43*$E$27</f>
        <v>680.14841109460122</v>
      </c>
      <c r="D107" s="8">
        <f>A107/($E$28)*2*PI()*$E$23*60/1609000</f>
        <v>30.28057575983544</v>
      </c>
      <c r="E107" s="10">
        <f>E43*$E$28</f>
        <v>466.65237444279342</v>
      </c>
      <c r="F107" s="8">
        <f>A107/($E$29)*2*PI()*$E$23*60/1609000</f>
        <v>38.423251594413031</v>
      </c>
      <c r="G107" s="10">
        <f>E43*$E$29</f>
        <v>367.75915601783055</v>
      </c>
      <c r="H107" s="8">
        <f>A107/($E$30)*2*PI()*$E$23*60/1609000</f>
        <v>44.248712320017596</v>
      </c>
      <c r="I107" s="10">
        <f>E43*$E$30</f>
        <v>319.34268449727585</v>
      </c>
      <c r="J107" s="8">
        <f>A107/($E$31)*2*PI()*$E$23*60/1609000</f>
        <v>50.804077108168336</v>
      </c>
      <c r="K107" s="10">
        <f>E43*$E$31</f>
        <v>278.13717682020803</v>
      </c>
      <c r="L107" s="8">
        <f>A107/($E$32)*2*PI()*$E$23*60/1609000</f>
        <v>57.035762242018521</v>
      </c>
      <c r="M107" s="10">
        <f>E43*$E$32</f>
        <v>247.74811490837047</v>
      </c>
    </row>
    <row r="108" spans="1:13" x14ac:dyDescent="0.25">
      <c r="A108" s="1">
        <v>4500</v>
      </c>
      <c r="B108" s="8">
        <f t="shared" ref="B108:B119" si="59">A108/($E$27)*2*PI()*$E$23*60/1609000</f>
        <v>26.711506977410952</v>
      </c>
      <c r="C108" s="10">
        <f t="shared" ref="C108:C114" si="60">E44*$E$27</f>
        <v>647.32623576027731</v>
      </c>
      <c r="D108" s="8">
        <f t="shared" ref="D108:D119" si="61">A108/($E$28)*2*PI()*$E$23*60/1609000</f>
        <v>38.93216883407414</v>
      </c>
      <c r="E108" s="10">
        <f t="shared" ref="E108:E114" si="62">E44*$E$28</f>
        <v>444.13295690936104</v>
      </c>
      <c r="F108" s="8">
        <f t="shared" ref="F108:F119" si="63">A108/($E$29)*2*PI()*$E$23*60/1609000</f>
        <v>49.401323478531047</v>
      </c>
      <c r="G108" s="10">
        <f t="shared" ref="G108:G114" si="64">E44*$E$29</f>
        <v>350.01206537890045</v>
      </c>
      <c r="H108" s="8">
        <f t="shared" ref="H108:H119" si="65">A108/($E$30)*2*PI()*$E$23*60/1609000</f>
        <v>56.891201554308317</v>
      </c>
      <c r="I108" s="10">
        <f t="shared" ref="I108:I114" si="66">E44*$E$30</f>
        <v>303.93204556711243</v>
      </c>
      <c r="J108" s="8">
        <f t="shared" ref="J108:J119" si="67">A108/($E$31)*2*PI()*$E$23*60/1609000</f>
        <v>65.319527710502172</v>
      </c>
      <c r="K108" s="10">
        <f t="shared" ref="K108:K114" si="68">E44*$E$31</f>
        <v>264.71500742942055</v>
      </c>
      <c r="L108" s="8">
        <f t="shared" ref="L108:L119" si="69">A108/($E$32)*2*PI()*$E$23*60/1609000</f>
        <v>73.331694311166672</v>
      </c>
      <c r="M108" s="10">
        <f t="shared" ref="M108:M114" si="70">E44*$E$32</f>
        <v>235.79244180287273</v>
      </c>
    </row>
    <row r="109" spans="1:13" x14ac:dyDescent="0.25">
      <c r="A109" s="1">
        <v>5500</v>
      </c>
      <c r="B109" s="8">
        <f t="shared" si="59"/>
        <v>32.647397416835616</v>
      </c>
      <c r="C109" s="10">
        <f t="shared" si="60"/>
        <v>756.73348687469036</v>
      </c>
      <c r="D109" s="8">
        <f t="shared" si="61"/>
        <v>47.58376190831283</v>
      </c>
      <c r="E109" s="10">
        <f t="shared" si="62"/>
        <v>519.19768202080229</v>
      </c>
      <c r="F109" s="8">
        <f t="shared" si="63"/>
        <v>60.379395362649063</v>
      </c>
      <c r="G109" s="10">
        <f t="shared" si="64"/>
        <v>409.16903417533428</v>
      </c>
      <c r="H109" s="8">
        <f t="shared" si="65"/>
        <v>69.533690788599074</v>
      </c>
      <c r="I109" s="10">
        <f t="shared" si="66"/>
        <v>355.3008420009906</v>
      </c>
      <c r="J109" s="8">
        <f t="shared" si="67"/>
        <v>79.834978312835972</v>
      </c>
      <c r="K109" s="10">
        <f t="shared" si="68"/>
        <v>309.45557206537893</v>
      </c>
      <c r="L109" s="8">
        <f t="shared" si="69"/>
        <v>89.627626380314823</v>
      </c>
      <c r="M109" s="10">
        <f t="shared" si="70"/>
        <v>275.64468548786527</v>
      </c>
    </row>
    <row r="110" spans="1:13" x14ac:dyDescent="0.25">
      <c r="A110" s="1">
        <v>6500</v>
      </c>
      <c r="B110" s="8">
        <f t="shared" si="59"/>
        <v>38.58328785626027</v>
      </c>
      <c r="C110" s="10">
        <f t="shared" si="60"/>
        <v>796.84947894997515</v>
      </c>
      <c r="D110" s="8">
        <f t="shared" si="61"/>
        <v>56.23535498255152</v>
      </c>
      <c r="E110" s="10">
        <f t="shared" si="62"/>
        <v>546.72141456166412</v>
      </c>
      <c r="F110" s="8">
        <f t="shared" si="63"/>
        <v>71.357467246767072</v>
      </c>
      <c r="G110" s="10">
        <f t="shared" si="64"/>
        <v>430.85992273402672</v>
      </c>
      <c r="H110" s="8">
        <f t="shared" si="65"/>
        <v>82.17618002288981</v>
      </c>
      <c r="I110" s="10">
        <f t="shared" si="66"/>
        <v>374.13606736007927</v>
      </c>
      <c r="J110" s="8">
        <f t="shared" si="67"/>
        <v>94.350428915169772</v>
      </c>
      <c r="K110" s="10">
        <f t="shared" si="68"/>
        <v>325.86044576523034</v>
      </c>
      <c r="L110" s="8">
        <f t="shared" si="69"/>
        <v>105.92355844946296</v>
      </c>
      <c r="M110" s="10">
        <f t="shared" si="70"/>
        <v>290.25717483902923</v>
      </c>
    </row>
    <row r="111" spans="1:13" x14ac:dyDescent="0.25">
      <c r="A111" s="1">
        <v>7500</v>
      </c>
      <c r="B111" s="8">
        <f t="shared" si="59"/>
        <v>44.519178295684931</v>
      </c>
      <c r="C111" s="10">
        <f t="shared" si="60"/>
        <v>838.78892521050022</v>
      </c>
      <c r="D111" s="8">
        <f t="shared" si="61"/>
        <v>64.886948056790231</v>
      </c>
      <c r="E111" s="10">
        <f t="shared" si="62"/>
        <v>575.4962258543834</v>
      </c>
      <c r="F111" s="8">
        <f t="shared" si="63"/>
        <v>82.33553913088511</v>
      </c>
      <c r="G111" s="10">
        <f t="shared" si="64"/>
        <v>453.5367607726597</v>
      </c>
      <c r="H111" s="8">
        <f t="shared" si="65"/>
        <v>94.818669257180559</v>
      </c>
      <c r="I111" s="10">
        <f t="shared" si="66"/>
        <v>393.82743932639926</v>
      </c>
      <c r="J111" s="8">
        <f t="shared" si="67"/>
        <v>108.8658795175036</v>
      </c>
      <c r="K111" s="10">
        <f t="shared" si="68"/>
        <v>343.01099554234776</v>
      </c>
      <c r="L111" s="8">
        <f t="shared" si="69"/>
        <v>122.2194905186111</v>
      </c>
      <c r="M111" s="10">
        <f t="shared" si="70"/>
        <v>305.5338682516097</v>
      </c>
    </row>
    <row r="112" spans="1:13" x14ac:dyDescent="0.25">
      <c r="A112" s="1">
        <v>8500</v>
      </c>
      <c r="B112" s="8">
        <f t="shared" si="59"/>
        <v>50.455068735109592</v>
      </c>
      <c r="C112" s="10">
        <f t="shared" si="60"/>
        <v>855.20001287766218</v>
      </c>
      <c r="D112" s="8">
        <f t="shared" si="61"/>
        <v>73.538541131028921</v>
      </c>
      <c r="E112" s="10">
        <f t="shared" si="62"/>
        <v>586.75593462109953</v>
      </c>
      <c r="F112" s="8">
        <f t="shared" si="63"/>
        <v>93.31361101500309</v>
      </c>
      <c r="G112" s="10">
        <f t="shared" si="64"/>
        <v>462.41030609212476</v>
      </c>
      <c r="H112" s="8">
        <f t="shared" si="65"/>
        <v>107.46115849147128</v>
      </c>
      <c r="I112" s="10">
        <f t="shared" si="66"/>
        <v>401.53275879148094</v>
      </c>
      <c r="J112" s="8">
        <f t="shared" si="67"/>
        <v>123.3813301198374</v>
      </c>
      <c r="K112" s="10">
        <f t="shared" si="68"/>
        <v>349.72208023774147</v>
      </c>
      <c r="L112" s="8">
        <f t="shared" si="69"/>
        <v>138.51542258775925</v>
      </c>
      <c r="M112" s="10">
        <f t="shared" si="70"/>
        <v>311.5117048043586</v>
      </c>
    </row>
    <row r="113" spans="1:13" x14ac:dyDescent="0.25">
      <c r="A113" s="1">
        <v>9500</v>
      </c>
      <c r="B113" s="8">
        <f t="shared" si="59"/>
        <v>56.390959174534245</v>
      </c>
      <c r="C113" s="10">
        <f t="shared" si="60"/>
        <v>809.61365824665666</v>
      </c>
      <c r="D113" s="8">
        <f t="shared" si="61"/>
        <v>82.190134205267626</v>
      </c>
      <c r="E113" s="10">
        <f t="shared" si="62"/>
        <v>555.47896582466558</v>
      </c>
      <c r="F113" s="8">
        <f t="shared" si="63"/>
        <v>104.2916828991211</v>
      </c>
      <c r="G113" s="10">
        <f t="shared" si="64"/>
        <v>437.76156909361066</v>
      </c>
      <c r="H113" s="8">
        <f t="shared" si="65"/>
        <v>120.10364772576203</v>
      </c>
      <c r="I113" s="10">
        <f t="shared" si="66"/>
        <v>380.12909361069836</v>
      </c>
      <c r="J113" s="8">
        <f t="shared" si="67"/>
        <v>137.89678072217123</v>
      </c>
      <c r="K113" s="10">
        <f t="shared" si="68"/>
        <v>331.08017830609214</v>
      </c>
      <c r="L113" s="8">
        <f t="shared" si="69"/>
        <v>154.81135465690741</v>
      </c>
      <c r="M113" s="10">
        <f t="shared" si="70"/>
        <v>294.90660326894499</v>
      </c>
    </row>
    <row r="114" spans="1:13" x14ac:dyDescent="0.25">
      <c r="A114" s="1">
        <v>10500</v>
      </c>
      <c r="B114" s="8">
        <f t="shared" si="59"/>
        <v>62.326849613958906</v>
      </c>
      <c r="C114" s="10">
        <f t="shared" si="60"/>
        <v>729.38167409608707</v>
      </c>
      <c r="D114" s="8">
        <f t="shared" si="61"/>
        <v>90.841727279506316</v>
      </c>
      <c r="E114" s="10">
        <f t="shared" si="62"/>
        <v>500.43150074294203</v>
      </c>
      <c r="F114" s="8">
        <f t="shared" si="63"/>
        <v>115.26975478323912</v>
      </c>
      <c r="G114" s="10">
        <f t="shared" si="64"/>
        <v>394.37979197622582</v>
      </c>
      <c r="H114" s="8">
        <f t="shared" si="65"/>
        <v>132.74613696005278</v>
      </c>
      <c r="I114" s="10">
        <f t="shared" si="66"/>
        <v>342.45864289252103</v>
      </c>
      <c r="J114" s="8">
        <f t="shared" si="67"/>
        <v>152.41223132450503</v>
      </c>
      <c r="K114" s="10">
        <f t="shared" si="68"/>
        <v>298.27043090638932</v>
      </c>
      <c r="L114" s="8">
        <f t="shared" si="69"/>
        <v>171.10728672605552</v>
      </c>
      <c r="M114" s="10">
        <f t="shared" si="70"/>
        <v>265.68162456661713</v>
      </c>
    </row>
    <row r="115" spans="1:13" x14ac:dyDescent="0.25">
      <c r="A115" s="1">
        <v>11500</v>
      </c>
      <c r="B115" s="8">
        <f t="shared" si="59"/>
        <v>68.262740053383553</v>
      </c>
      <c r="C115" s="10"/>
      <c r="D115" s="8">
        <f t="shared" si="61"/>
        <v>99.493320353744991</v>
      </c>
      <c r="E115" s="10"/>
      <c r="F115" s="8">
        <f t="shared" si="63"/>
        <v>126.24782666735712</v>
      </c>
      <c r="G115" s="10"/>
      <c r="H115" s="8">
        <f t="shared" si="65"/>
        <v>145.38862619434352</v>
      </c>
      <c r="I115" s="10"/>
      <c r="J115" s="8">
        <f t="shared" si="67"/>
        <v>166.92768192683883</v>
      </c>
      <c r="K115" s="10"/>
      <c r="L115" s="8">
        <f t="shared" si="69"/>
        <v>187.40321879520368</v>
      </c>
      <c r="M115" s="10"/>
    </row>
    <row r="116" spans="1:13" x14ac:dyDescent="0.25">
      <c r="A116" s="1">
        <v>12500</v>
      </c>
      <c r="B116" s="8">
        <f t="shared" si="59"/>
        <v>74.198630492808206</v>
      </c>
      <c r="C116" s="10"/>
      <c r="D116" s="8">
        <f t="shared" si="61"/>
        <v>108.14491342798372</v>
      </c>
      <c r="E116" s="10"/>
      <c r="F116" s="8">
        <f t="shared" si="63"/>
        <v>137.22589855147513</v>
      </c>
      <c r="G116" s="10"/>
      <c r="H116" s="8">
        <f t="shared" si="65"/>
        <v>158.03111542863422</v>
      </c>
      <c r="I116" s="10"/>
      <c r="J116" s="8">
        <f t="shared" si="67"/>
        <v>181.44313252917263</v>
      </c>
      <c r="K116" s="10"/>
      <c r="L116" s="8">
        <f t="shared" si="69"/>
        <v>203.69915086435182</v>
      </c>
      <c r="M116" s="10"/>
    </row>
    <row r="117" spans="1:13" x14ac:dyDescent="0.25">
      <c r="A117" s="1">
        <v>13500</v>
      </c>
      <c r="B117" s="8">
        <f t="shared" si="59"/>
        <v>80.13452093223286</v>
      </c>
      <c r="C117" s="10"/>
      <c r="D117" s="8">
        <f t="shared" si="61"/>
        <v>116.79650650222243</v>
      </c>
      <c r="E117" s="10"/>
      <c r="F117" s="8">
        <f t="shared" si="63"/>
        <v>148.20397043559313</v>
      </c>
      <c r="G117" s="10"/>
      <c r="H117" s="8">
        <f t="shared" si="65"/>
        <v>170.67360466292502</v>
      </c>
      <c r="I117" s="10"/>
      <c r="J117" s="8">
        <f t="shared" si="67"/>
        <v>195.95858313150649</v>
      </c>
      <c r="K117" s="10"/>
      <c r="L117" s="8">
        <f t="shared" si="69"/>
        <v>219.99508293349999</v>
      </c>
      <c r="M117" s="10"/>
    </row>
    <row r="118" spans="1:13" x14ac:dyDescent="0.25">
      <c r="A118" s="1">
        <v>14500</v>
      </c>
      <c r="B118" s="8">
        <f t="shared" si="59"/>
        <v>86.070411371657542</v>
      </c>
      <c r="C118" s="10"/>
      <c r="D118" s="8">
        <f t="shared" si="61"/>
        <v>125.44809957646112</v>
      </c>
      <c r="E118" s="10"/>
      <c r="F118" s="8">
        <f t="shared" si="63"/>
        <v>159.18204231971114</v>
      </c>
      <c r="G118" s="10"/>
      <c r="H118" s="8">
        <f t="shared" si="65"/>
        <v>183.31609389721578</v>
      </c>
      <c r="I118" s="10"/>
      <c r="J118" s="8">
        <f t="shared" si="67"/>
        <v>210.47403373384032</v>
      </c>
      <c r="K118" s="10"/>
      <c r="L118" s="8">
        <f t="shared" si="69"/>
        <v>236.29101500264812</v>
      </c>
      <c r="M118" s="10"/>
    </row>
    <row r="119" spans="1:13" x14ac:dyDescent="0.25">
      <c r="A119" s="1">
        <v>15500</v>
      </c>
      <c r="B119" s="8">
        <f t="shared" si="59"/>
        <v>92.006301811082182</v>
      </c>
      <c r="C119" s="10"/>
      <c r="D119" s="8">
        <f t="shared" si="61"/>
        <v>134.09969265069981</v>
      </c>
      <c r="E119" s="10"/>
      <c r="F119" s="8">
        <f t="shared" si="63"/>
        <v>170.16011420382921</v>
      </c>
      <c r="G119" s="10"/>
      <c r="H119" s="8">
        <f t="shared" si="65"/>
        <v>195.95858313150651</v>
      </c>
      <c r="I119" s="10"/>
      <c r="J119" s="8">
        <f t="shared" si="67"/>
        <v>224.98948433617412</v>
      </c>
      <c r="K119" s="10"/>
      <c r="L119" s="8">
        <f t="shared" si="69"/>
        <v>252.58694707179629</v>
      </c>
      <c r="M119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Inputs</vt:lpstr>
      <vt:lpstr>Torque Curves</vt:lpstr>
      <vt:lpstr>Bike 1 and Bike 2</vt:lpstr>
      <vt:lpstr>Bike 3 and Bike 4</vt:lpstr>
      <vt:lpstr>Bike 2 and Bike 4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Engine_Bay Workstation</dc:creator>
  <cp:lastModifiedBy>Cordon, Dan (dcordon@uidaho.edu)</cp:lastModifiedBy>
  <dcterms:created xsi:type="dcterms:W3CDTF">2010-09-10T15:00:03Z</dcterms:created>
  <dcterms:modified xsi:type="dcterms:W3CDTF">2024-02-26T21:00:31Z</dcterms:modified>
</cp:coreProperties>
</file>