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5" yWindow="-30" windowWidth="20175" windowHeight="10245"/>
  </bookViews>
  <sheets>
    <sheet name="Title Page" sheetId="19" r:id="rId1"/>
    <sheet name="Instructions" sheetId="18" r:id="rId2"/>
    <sheet name="Summary" sheetId="9" r:id="rId3"/>
    <sheet name="Graphs" sheetId="17" r:id="rId4"/>
    <sheet name="Input Prices" sheetId="8" r:id="rId5"/>
    <sheet name="Summer Fallow" sheetId="6" r:id="rId6"/>
    <sheet name="SF Calendar" sheetId="5" r:id="rId7"/>
    <sheet name="CT Winter Wheat" sheetId="2" r:id="rId8"/>
    <sheet name="CT WW Calendar" sheetId="3" r:id="rId9"/>
    <sheet name="Chem Fallow" sheetId="13" r:id="rId10"/>
    <sheet name="CF Calendar" sheetId="12" r:id="rId11"/>
    <sheet name="RT Winter Wheat" sheetId="11" r:id="rId12"/>
    <sheet name="RT WW Calendar" sheetId="10" r:id="rId13"/>
    <sheet name="Machinery Complement" sheetId="4" r:id="rId14"/>
    <sheet name="Machinery Cost" sheetId="7" r:id="rId15"/>
  </sheets>
  <externalReferences>
    <externalReference r:id="rId16"/>
  </externalReferences>
  <definedNames>
    <definedName name="_ftn1" localSheetId="13">'Machinery Complement'!#REF!</definedName>
    <definedName name="_ftnref1" localSheetId="13">'Machinery Complement'!#REF!</definedName>
    <definedName name="Achieve">[1]PRICES!$D$45</definedName>
    <definedName name="AchieveSC">[1]PRICES!$D$46</definedName>
    <definedName name="Adj_M90">[1]PRICES!$D$29</definedName>
    <definedName name="aerial">[1]PRICES!$D$37</definedName>
    <definedName name="AerialSpray">[1]PRICES!$D$37</definedName>
    <definedName name="Ally">[1]PRICES!$D$47</definedName>
    <definedName name="AmmoniaS">#REF!</definedName>
    <definedName name="AmmonSulfate">[1]PRICES!$D$26</definedName>
    <definedName name="AmmonSulfdry">[1]PRICES!$D$30</definedName>
    <definedName name="AmmSulf">#REF!</definedName>
    <definedName name="AmmSulfdry">[1]PRICES!$D$30</definedName>
    <definedName name="AmmSulfLiqu">'Input Prices'!#REF!</definedName>
    <definedName name="AmSul">'Input Prices'!#REF!</definedName>
    <definedName name="AssureII">[1]PRICES!$D$48</definedName>
    <definedName name="Axial">[1]PRICES!$D$49</definedName>
    <definedName name="BarleySeed">#REF!</definedName>
    <definedName name="Bronate">[1]PRICES!$D$50</definedName>
    <definedName name="BroxM">[1]PRICES!$D$51</definedName>
    <definedName name="BSD">[1]PRICES!$D$10</definedName>
    <definedName name="CanolaSeed">[1]PRICES!$D$15</definedName>
    <definedName name="Capture">[1]PRICES!$D$52</definedName>
    <definedName name="cashrent">'Input Prices'!$D$40</definedName>
    <definedName name="CF">'Chem Fallow'!#REF!</definedName>
    <definedName name="CFMC">'Machinery Cost'!$C$91</definedName>
    <definedName name="CRWWMC">'Machinery Cost'!$C$72</definedName>
    <definedName name="CSD">[1]PRICES!$D$15</definedName>
    <definedName name="CTWW">'CT Winter Wheat'!#REF!</definedName>
    <definedName name="customaerial">#REF!</definedName>
    <definedName name="D">[1]PRICES!$D$5</definedName>
    <definedName name="Diesel">'Input Prices'!$D$14</definedName>
    <definedName name="Dimethoate">[1]PRICES!$D$53</definedName>
    <definedName name="Discover">[1]PRICES!$D$54</definedName>
    <definedName name="DNSSeed">[1]PRICES!$D$11</definedName>
    <definedName name="DPesticide">'Input Prices'!$D$32</definedName>
    <definedName name="Excel">'Input Prices'!$D$28</definedName>
    <definedName name="Excel90">[1]PRICES!$D$24</definedName>
    <definedName name="Fargo">[1]PRICES!$D$55</definedName>
    <definedName name="fertapp">[1]PRICES!$D$40</definedName>
    <definedName name="FertilizerApplicator">'Input Prices'!$D$38</definedName>
    <definedName name="Finesse">[1]PRICES!$D$56</definedName>
    <definedName name="G">[1]PRICES!$D$6</definedName>
    <definedName name="GarbanzoSeed">[1]PRICES!$D$14</definedName>
    <definedName name="Gas">'Input Prices'!$D$15</definedName>
    <definedName name="Glyphosphate">[1]PRICES!$H$18</definedName>
    <definedName name="GSD">[1]PRICES!$D$14</definedName>
    <definedName name="hardredspringwheat">#REF!</definedName>
    <definedName name="HourlyMachineLabor">'Input Prices'!$D$45</definedName>
    <definedName name="HRSWSD">[1]PRICES!$D$11</definedName>
    <definedName name="Imidan">[1]PRICES!$D$58</definedName>
    <definedName name="InPlace">[1]PRICES!$D$31</definedName>
    <definedName name="K">[1]PRICES!$D$21</definedName>
    <definedName name="L">[1]PRICES!$D$71</definedName>
    <definedName name="landtax">'Input Prices'!$D$42</definedName>
    <definedName name="LentilSeed">[1]PRICES!$D$13</definedName>
    <definedName name="LSD">[1]PRICES!$D$13</definedName>
    <definedName name="M">'Input Prices'!#REF!</definedName>
    <definedName name="Maverick">'Input Prices'!$D$34</definedName>
    <definedName name="N">[1]PRICES!$D$18</definedName>
    <definedName name="Nitrogen">'Input Prices'!$D$22</definedName>
    <definedName name="NitrogenPriceAssumption">#REF!</definedName>
    <definedName name="OperShare">Summary!$O$9</definedName>
    <definedName name="OpShare">Summary!$O$11</definedName>
    <definedName name="Osprey">[1]PRICES!$D$60</definedName>
    <definedName name="OwnerShare">Summary!$O$10</definedName>
    <definedName name="OwnShare">Summary!$O$12</definedName>
    <definedName name="p">[1]PRICES!$D$19</definedName>
    <definedName name="PeaSeed">[1]PRICES!$D$12</definedName>
    <definedName name="Phosphorous">'Input Prices'!$D$23</definedName>
    <definedName name="Potassium">#REF!</definedName>
    <definedName name="_xlnm.Print_Area" localSheetId="10">'CF Calendar'!$B$2:$E$16</definedName>
    <definedName name="_xlnm.Print_Area" localSheetId="9">'Chem Fallow'!$B$8:$J$63</definedName>
    <definedName name="_xlnm.Print_Area" localSheetId="7">'CT Winter Wheat'!$B$8:$K$106</definedName>
    <definedName name="_xlnm.Print_Area" localSheetId="8">'CT WW Calendar'!$B$2:$E$17</definedName>
    <definedName name="_xlnm.Print_Area" localSheetId="3">Graphs!$B$2:$I$51</definedName>
    <definedName name="_xlnm.Print_Area" localSheetId="4">'Input Prices'!$B$8:$E$51</definedName>
    <definedName name="_xlnm.Print_Area" localSheetId="1">Instructions!$B$2:$B$32</definedName>
    <definedName name="_xlnm.Print_Area" localSheetId="13">'Machinery Complement'!$B$2:$L$28</definedName>
    <definedName name="_xlnm.Print_Area" localSheetId="14">'Machinery Cost'!$B$3:$M$110</definedName>
    <definedName name="_xlnm.Print_Area" localSheetId="11">'RT Winter Wheat'!$B$8:$J$109</definedName>
    <definedName name="_xlnm.Print_Area" localSheetId="12">'RT WW Calendar'!$B$2:$E$19</definedName>
    <definedName name="_xlnm.Print_Area" localSheetId="6">'SF Calendar'!$B$2:$E$19</definedName>
    <definedName name="_xlnm.Print_Area" localSheetId="2">Summary!$B$8:$Q$30</definedName>
    <definedName name="_xlnm.Print_Area" localSheetId="5">'Summer Fallow'!$B$8:$J$65</definedName>
    <definedName name="_xlnm.Print_Area" localSheetId="0">'Title Page'!$A$1:$L$41</definedName>
    <definedName name="_xlnm.Print_Titles" localSheetId="7">'CT Winter Wheat'!$8:$9</definedName>
    <definedName name="_xlnm.Print_Titles" localSheetId="11">'RT Winter Wheat'!$8:$9</definedName>
    <definedName name="Prowl">[1]PRICES!$D$61</definedName>
    <definedName name="PSD">[1]PRICES!$D$12</definedName>
    <definedName name="Pursuit">[1]PRICES!$D$62</definedName>
    <definedName name="Quadris">[1]PRICES!$D$63</definedName>
    <definedName name="Quilt">[1]PRICES!$D$64</definedName>
    <definedName name="RentalSprayer">'Input Prices'!$D$37</definedName>
    <definedName name="rippershooter">[1]PRICES!$D$39</definedName>
    <definedName name="Roundup">'Input Prices'!$D$33</definedName>
    <definedName name="RTWW">'RT Winter Wheat'!$A$7</definedName>
    <definedName name="RTWWMC">'Machinery Cost'!$C$110</definedName>
    <definedName name="S">[1]PRICES!$D$20</definedName>
    <definedName name="SF">'Summer Fallow'!$A$7</definedName>
    <definedName name="SFMC">'Machinery Cost'!$C$54</definedName>
    <definedName name="shredder">[1]PRICES!$D$38</definedName>
    <definedName name="Sprayer">[1]PRICES!$D$36</definedName>
    <definedName name="SpringPeaSeed">#REF!</definedName>
    <definedName name="Starane">[1]PRICES!$D$65</definedName>
    <definedName name="StaraneSalvo">[1]PRICES!$D$66</definedName>
    <definedName name="StaraneSword">[1]PRICES!$D$67</definedName>
    <definedName name="StarSalvo">[1]PRICES!$H$27</definedName>
    <definedName name="Sulfur">'Input Prices'!$D$24</definedName>
    <definedName name="Surfactant">'Input Prices'!#REF!</definedName>
    <definedName name="SWWSD">[1]PRICES!$D$9</definedName>
    <definedName name="Syltac">[1]PRICES!$D$27</definedName>
    <definedName name="SyltacS">#REF!</definedName>
    <definedName name="SyltacSticker">'Input Prices'!#REF!</definedName>
    <definedName name="twofourD">[1]PRICES!$D$45</definedName>
    <definedName name="UltraPro">'Input Prices'!$D$29</definedName>
    <definedName name="UltraProPesticide">'Input Prices'!#REF!</definedName>
    <definedName name="WheatSeed">'Input Prices'!$D$18</definedName>
    <definedName name="Z_5519EDA0_AC19_11DC_BDFC_0017F2D6B148_.wvu.Cols" localSheetId="7" hidden="1">'CT Winter Wheat'!$K:$K</definedName>
    <definedName name="Z_5519EDA0_AC19_11DC_BDFC_0017F2D6B148_.wvu.Cols" localSheetId="5" hidden="1">'Summer Fallow'!$K:$K</definedName>
    <definedName name="Z_5519EDA0_AC19_11DC_BDFC_0017F2D6B148_.wvu.PrintArea" localSheetId="7" hidden="1">'CT Winter Wheat'!$B$8:$K$73</definedName>
    <definedName name="Z_DF41C481_38FD_4F9F_AEF1_AE5420249928_.wvu.Cols" localSheetId="7" hidden="1">'CT Winter Wheat'!$K:$K</definedName>
    <definedName name="Z_DF41C481_38FD_4F9F_AEF1_AE5420249928_.wvu.PrintArea" localSheetId="7" hidden="1">'CT Winter Wheat'!$B$8:$K$73</definedName>
    <definedName name="Z_E00EC0C4_E70A_4D33_A9FE_7CF308F53A5C_.wvu.Cols" localSheetId="9" hidden="1">'Chem Fallow'!$K:$K</definedName>
    <definedName name="Z_E00EC0C4_E70A_4D33_A9FE_7CF308F53A5C_.wvu.Cols" localSheetId="7" hidden="1">'CT Winter Wheat'!$K:$K</definedName>
    <definedName name="Z_E00EC0C4_E70A_4D33_A9FE_7CF308F53A5C_.wvu.Cols" localSheetId="11" hidden="1">'RT Winter Wheat'!$K:$K</definedName>
    <definedName name="Z_E00EC0C4_E70A_4D33_A9FE_7CF308F53A5C_.wvu.Cols" localSheetId="5" hidden="1">'Summer Fallow'!$K:$K</definedName>
    <definedName name="Z_E00EC0C4_E70A_4D33_A9FE_7CF308F53A5C_.wvu.PrintArea" localSheetId="7" hidden="1">'CT Winter Wheat'!$B$8:$K$73</definedName>
    <definedName name="Z_E00EC0C4_E70A_4D33_A9FE_7CF308F53A5C_.wvu.PrintArea" localSheetId="13" hidden="1">'Machinery Complement'!$A$1:$L$27</definedName>
  </definedNames>
  <calcPr calcId="125725"/>
  <customWorkbookViews>
    <customWorkbookView name="Kate Painter - Personal View" guid="{E00EC0C4-E70A-4D33-A9FE-7CF308F53A5C}" mergeInterval="0" personalView="1" maximized="1" windowWidth="1020" windowHeight="538" activeSheetId="14"/>
    <customWorkbookView name="Kent Madison - Personal View" guid="{DF41C481-38FD-4F9F-AEF1-AE5420249928}" mergeInterval="0" personalView="1" maximized="1" windowWidth="1020" windowHeight="579" activeSheetId="2"/>
    <customWorkbookView name="Office 2004 User - Personal View" guid="{5519EDA0-AC19-11DC-BDFC-0017F2D6B148}" mergeInterval="0" personalView="1" xWindow="-3" yWindow="20" windowWidth="763" windowHeight="704" activeSheetId="6"/>
  </customWorkbookViews>
</workbook>
</file>

<file path=xl/calcChain.xml><?xml version="1.0" encoding="utf-8"?>
<calcChain xmlns="http://schemas.openxmlformats.org/spreadsheetml/2006/main">
  <c r="K7" i="7"/>
  <c r="K37" s="1"/>
  <c r="M7"/>
  <c r="M37" s="1"/>
  <c r="K8"/>
  <c r="M8"/>
  <c r="K9"/>
  <c r="M9"/>
  <c r="K10"/>
  <c r="K40" s="1"/>
  <c r="M10"/>
  <c r="M62" s="1"/>
  <c r="K12"/>
  <c r="M12"/>
  <c r="K13"/>
  <c r="M13"/>
  <c r="K14"/>
  <c r="M14"/>
  <c r="K15"/>
  <c r="M15"/>
  <c r="K17"/>
  <c r="M17"/>
  <c r="K18"/>
  <c r="M18"/>
  <c r="K19"/>
  <c r="M19"/>
  <c r="K20"/>
  <c r="M20"/>
  <c r="M48" s="1"/>
  <c r="K22"/>
  <c r="M22"/>
  <c r="K23"/>
  <c r="M23"/>
  <c r="C37"/>
  <c r="D37"/>
  <c r="E37"/>
  <c r="F37"/>
  <c r="G37"/>
  <c r="H37"/>
  <c r="J37"/>
  <c r="L37"/>
  <c r="C38"/>
  <c r="D38"/>
  <c r="E38"/>
  <c r="F38"/>
  <c r="G38"/>
  <c r="H38"/>
  <c r="J38"/>
  <c r="K38"/>
  <c r="L38"/>
  <c r="M38"/>
  <c r="C39"/>
  <c r="D39"/>
  <c r="E39"/>
  <c r="F39"/>
  <c r="G39"/>
  <c r="H39"/>
  <c r="J39"/>
  <c r="K39"/>
  <c r="L39"/>
  <c r="M39"/>
  <c r="C40"/>
  <c r="D40"/>
  <c r="E40"/>
  <c r="F40"/>
  <c r="G40"/>
  <c r="H40"/>
  <c r="J40"/>
  <c r="L40"/>
  <c r="C42"/>
  <c r="D42"/>
  <c r="E42"/>
  <c r="F42"/>
  <c r="G42"/>
  <c r="H42"/>
  <c r="J42"/>
  <c r="K42"/>
  <c r="L42"/>
  <c r="M42"/>
  <c r="C43"/>
  <c r="D43"/>
  <c r="E43"/>
  <c r="F43"/>
  <c r="G43"/>
  <c r="H43"/>
  <c r="J43"/>
  <c r="K43"/>
  <c r="L43"/>
  <c r="M43"/>
  <c r="C45"/>
  <c r="D45"/>
  <c r="E45"/>
  <c r="F45"/>
  <c r="G45"/>
  <c r="H45"/>
  <c r="J45"/>
  <c r="K45"/>
  <c r="L45"/>
  <c r="M45"/>
  <c r="C46"/>
  <c r="D46"/>
  <c r="E46"/>
  <c r="F46"/>
  <c r="G46"/>
  <c r="H46"/>
  <c r="J46"/>
  <c r="K46"/>
  <c r="L46"/>
  <c r="M46"/>
  <c r="C47"/>
  <c r="D47"/>
  <c r="E47"/>
  <c r="F47"/>
  <c r="G47"/>
  <c r="H47"/>
  <c r="J47"/>
  <c r="K47"/>
  <c r="L47"/>
  <c r="M47"/>
  <c r="D48"/>
  <c r="E48"/>
  <c r="F48"/>
  <c r="G48"/>
  <c r="H48"/>
  <c r="I48"/>
  <c r="J48"/>
  <c r="K48"/>
  <c r="L48"/>
  <c r="C50"/>
  <c r="D50"/>
  <c r="E50"/>
  <c r="F50"/>
  <c r="G50"/>
  <c r="H50"/>
  <c r="J50"/>
  <c r="K50"/>
  <c r="L50"/>
  <c r="M50"/>
  <c r="C51"/>
  <c r="D51"/>
  <c r="E51"/>
  <c r="F51"/>
  <c r="G51"/>
  <c r="H51"/>
  <c r="J51"/>
  <c r="K51"/>
  <c r="L51"/>
  <c r="M51"/>
  <c r="H52"/>
  <c r="C59"/>
  <c r="D59"/>
  <c r="E59"/>
  <c r="F59"/>
  <c r="G59"/>
  <c r="H59"/>
  <c r="H70" s="1"/>
  <c r="J59"/>
  <c r="L59"/>
  <c r="C60"/>
  <c r="D60"/>
  <c r="E60"/>
  <c r="F60"/>
  <c r="G60"/>
  <c r="H60"/>
  <c r="J60"/>
  <c r="K60"/>
  <c r="L60"/>
  <c r="M60"/>
  <c r="C61"/>
  <c r="D61"/>
  <c r="E61"/>
  <c r="F61"/>
  <c r="G61"/>
  <c r="H61"/>
  <c r="J61"/>
  <c r="K61"/>
  <c r="L61"/>
  <c r="M61"/>
  <c r="C62"/>
  <c r="D62"/>
  <c r="E62"/>
  <c r="F62"/>
  <c r="G62"/>
  <c r="H62"/>
  <c r="J62"/>
  <c r="L62"/>
  <c r="C64"/>
  <c r="D64"/>
  <c r="E64"/>
  <c r="F64"/>
  <c r="G64"/>
  <c r="H64"/>
  <c r="J64"/>
  <c r="K64"/>
  <c r="L64"/>
  <c r="M64"/>
  <c r="C65"/>
  <c r="D65"/>
  <c r="E65"/>
  <c r="F65"/>
  <c r="G65"/>
  <c r="H65"/>
  <c r="J65"/>
  <c r="K65"/>
  <c r="L65"/>
  <c r="M65"/>
  <c r="C66"/>
  <c r="D66"/>
  <c r="E66"/>
  <c r="F66"/>
  <c r="G66"/>
  <c r="H66"/>
  <c r="J66"/>
  <c r="K66"/>
  <c r="L66"/>
  <c r="M66"/>
  <c r="C68"/>
  <c r="D68"/>
  <c r="E68"/>
  <c r="F68"/>
  <c r="G68"/>
  <c r="H68"/>
  <c r="J68"/>
  <c r="K68"/>
  <c r="L68"/>
  <c r="M68"/>
  <c r="D69"/>
  <c r="E69"/>
  <c r="F69"/>
  <c r="G69"/>
  <c r="H69"/>
  <c r="I69"/>
  <c r="J69"/>
  <c r="K69"/>
  <c r="L69"/>
  <c r="G70"/>
  <c r="H33" i="2" s="1"/>
  <c r="J33" s="1"/>
  <c r="J70" i="7"/>
  <c r="C77"/>
  <c r="D77"/>
  <c r="D89" s="1"/>
  <c r="J47" i="13" s="1"/>
  <c r="E77" i="7"/>
  <c r="F77"/>
  <c r="G77"/>
  <c r="H77"/>
  <c r="H89" s="1"/>
  <c r="J77"/>
  <c r="K77"/>
  <c r="L77"/>
  <c r="C78"/>
  <c r="D78"/>
  <c r="E78"/>
  <c r="F78"/>
  <c r="G78"/>
  <c r="H78"/>
  <c r="J78"/>
  <c r="K78"/>
  <c r="L78"/>
  <c r="M78"/>
  <c r="C79"/>
  <c r="D79"/>
  <c r="E79"/>
  <c r="F79"/>
  <c r="G79"/>
  <c r="H79"/>
  <c r="J79"/>
  <c r="K79"/>
  <c r="L79"/>
  <c r="M79"/>
  <c r="C80"/>
  <c r="D80"/>
  <c r="E80"/>
  <c r="F80"/>
  <c r="G80"/>
  <c r="H80"/>
  <c r="J80"/>
  <c r="K80"/>
  <c r="L80"/>
  <c r="C82"/>
  <c r="D82"/>
  <c r="E82"/>
  <c r="F82"/>
  <c r="G82"/>
  <c r="H82"/>
  <c r="J82"/>
  <c r="K82"/>
  <c r="L82"/>
  <c r="L89" s="1"/>
  <c r="H27" i="13" s="1"/>
  <c r="J27" s="1"/>
  <c r="M82" i="7"/>
  <c r="C83"/>
  <c r="D83"/>
  <c r="E83"/>
  <c r="F83"/>
  <c r="G83"/>
  <c r="H83"/>
  <c r="J83"/>
  <c r="K83"/>
  <c r="L83"/>
  <c r="M83"/>
  <c r="D85"/>
  <c r="E85"/>
  <c r="F85"/>
  <c r="G85"/>
  <c r="H85"/>
  <c r="I85"/>
  <c r="J85"/>
  <c r="K85"/>
  <c r="L85"/>
  <c r="M85"/>
  <c r="D86"/>
  <c r="E86"/>
  <c r="F86"/>
  <c r="G86"/>
  <c r="H86"/>
  <c r="I86"/>
  <c r="J86"/>
  <c r="K86"/>
  <c r="L86"/>
  <c r="M86"/>
  <c r="D87"/>
  <c r="E87"/>
  <c r="F87"/>
  <c r="G87"/>
  <c r="H87"/>
  <c r="I87"/>
  <c r="J87"/>
  <c r="K87"/>
  <c r="L87"/>
  <c r="M87"/>
  <c r="D88"/>
  <c r="E88"/>
  <c r="F88"/>
  <c r="G88"/>
  <c r="H88"/>
  <c r="I88"/>
  <c r="J88"/>
  <c r="K88"/>
  <c r="L88"/>
  <c r="M88"/>
  <c r="F89"/>
  <c r="J49" i="13" s="1"/>
  <c r="J89" i="7"/>
  <c r="C96"/>
  <c r="D96"/>
  <c r="E96"/>
  <c r="F96"/>
  <c r="G96"/>
  <c r="H96"/>
  <c r="J96"/>
  <c r="K96"/>
  <c r="L96"/>
  <c r="C97"/>
  <c r="D97"/>
  <c r="E97"/>
  <c r="F97"/>
  <c r="G97"/>
  <c r="H97"/>
  <c r="J97"/>
  <c r="K97"/>
  <c r="L97"/>
  <c r="M97"/>
  <c r="C98"/>
  <c r="D98"/>
  <c r="E98"/>
  <c r="F98"/>
  <c r="G98"/>
  <c r="H98"/>
  <c r="J98"/>
  <c r="K98"/>
  <c r="L98"/>
  <c r="M98"/>
  <c r="C99"/>
  <c r="D99"/>
  <c r="E99"/>
  <c r="F99"/>
  <c r="G99"/>
  <c r="H99"/>
  <c r="J99"/>
  <c r="L99"/>
  <c r="C101"/>
  <c r="D101"/>
  <c r="E101"/>
  <c r="F101"/>
  <c r="G101"/>
  <c r="H101"/>
  <c r="J101"/>
  <c r="K101"/>
  <c r="L101"/>
  <c r="M101"/>
  <c r="C102"/>
  <c r="D102"/>
  <c r="E102"/>
  <c r="F102"/>
  <c r="G102"/>
  <c r="H102"/>
  <c r="J102"/>
  <c r="K102"/>
  <c r="L102"/>
  <c r="M102"/>
  <c r="C103"/>
  <c r="D103"/>
  <c r="E103"/>
  <c r="F103"/>
  <c r="G103"/>
  <c r="H103"/>
  <c r="J103"/>
  <c r="K103"/>
  <c r="L103"/>
  <c r="M103"/>
  <c r="C105"/>
  <c r="D105"/>
  <c r="E105"/>
  <c r="F105"/>
  <c r="G105"/>
  <c r="H105"/>
  <c r="J105"/>
  <c r="K105"/>
  <c r="L105"/>
  <c r="M105"/>
  <c r="C106"/>
  <c r="D106"/>
  <c r="E106"/>
  <c r="F106"/>
  <c r="F108" s="1"/>
  <c r="J61" i="11" s="1"/>
  <c r="G106" i="7"/>
  <c r="H106"/>
  <c r="I106"/>
  <c r="J106"/>
  <c r="K106"/>
  <c r="L106"/>
  <c r="M106"/>
  <c r="C107"/>
  <c r="D107"/>
  <c r="E107"/>
  <c r="F107"/>
  <c r="G107"/>
  <c r="G108" s="1"/>
  <c r="H36" i="11" s="1"/>
  <c r="J36" s="1"/>
  <c r="H107" i="7"/>
  <c r="I107"/>
  <c r="J107"/>
  <c r="K107"/>
  <c r="L107"/>
  <c r="J108"/>
  <c r="D14" i="11"/>
  <c r="F90" s="1"/>
  <c r="D90" s="1"/>
  <c r="J20"/>
  <c r="J26"/>
  <c r="D29"/>
  <c r="J31"/>
  <c r="J38"/>
  <c r="J43"/>
  <c r="J46"/>
  <c r="J47"/>
  <c r="J45" s="1"/>
  <c r="J48"/>
  <c r="D65"/>
  <c r="D66"/>
  <c r="J68"/>
  <c r="J69"/>
  <c r="J16" i="13"/>
  <c r="J17"/>
  <c r="J15" s="1"/>
  <c r="D20"/>
  <c r="D21"/>
  <c r="D22"/>
  <c r="J23"/>
  <c r="J30"/>
  <c r="J34"/>
  <c r="J37"/>
  <c r="J36" s="1"/>
  <c r="J38"/>
  <c r="J39"/>
  <c r="J50"/>
  <c r="D14" i="2"/>
  <c r="F87" s="1"/>
  <c r="D87" s="1"/>
  <c r="J22"/>
  <c r="J23"/>
  <c r="J21" s="1"/>
  <c r="J28"/>
  <c r="J35"/>
  <c r="J39"/>
  <c r="J42"/>
  <c r="J43"/>
  <c r="J41" s="1"/>
  <c r="J44"/>
  <c r="D61"/>
  <c r="D62"/>
  <c r="J64"/>
  <c r="J65"/>
  <c r="J19" i="6"/>
  <c r="J25"/>
  <c r="J32"/>
  <c r="J37"/>
  <c r="J40"/>
  <c r="J39" s="1"/>
  <c r="J41"/>
  <c r="J42"/>
  <c r="J54"/>
  <c r="H34" i="11"/>
  <c r="H19"/>
  <c r="J19" s="1"/>
  <c r="J18" s="1"/>
  <c r="H23"/>
  <c r="J23" s="1"/>
  <c r="H24"/>
  <c r="J24" s="1"/>
  <c r="H25"/>
  <c r="J25" s="1"/>
  <c r="H21" i="13"/>
  <c r="J21" s="1"/>
  <c r="H22"/>
  <c r="J22" s="1"/>
  <c r="H29" i="11"/>
  <c r="J29" s="1"/>
  <c r="H20" i="13"/>
  <c r="J20" s="1"/>
  <c r="H30" i="11"/>
  <c r="J30" s="1"/>
  <c r="H33" i="13"/>
  <c r="J33" s="1"/>
  <c r="J32" s="1"/>
  <c r="H42" i="11"/>
  <c r="J42" s="1"/>
  <c r="I8" i="7"/>
  <c r="C49" i="17"/>
  <c r="H14" i="2"/>
  <c r="H13" i="9"/>
  <c r="C50" i="17"/>
  <c r="H22" i="6" l="1"/>
  <c r="J22" s="1"/>
  <c r="H18"/>
  <c r="J18" s="1"/>
  <c r="H38" i="2"/>
  <c r="J38" s="1"/>
  <c r="J37" s="1"/>
  <c r="H34"/>
  <c r="H87"/>
  <c r="I38" i="7"/>
  <c r="I60"/>
  <c r="I97"/>
  <c r="I78"/>
  <c r="J19" i="13"/>
  <c r="H41" i="11"/>
  <c r="J41" s="1"/>
  <c r="J40" s="1"/>
  <c r="H37"/>
  <c r="K89" i="7"/>
  <c r="D26" i="13" s="1"/>
  <c r="G89" i="7"/>
  <c r="H28" i="13" s="1"/>
  <c r="J28" s="1"/>
  <c r="L70" i="7"/>
  <c r="H32" i="2" s="1"/>
  <c r="J32" s="1"/>
  <c r="G52" i="7"/>
  <c r="H30" i="6" s="1"/>
  <c r="J30" s="1"/>
  <c r="F52" i="7"/>
  <c r="J52" i="6" s="1"/>
  <c r="D52" i="7"/>
  <c r="J50" i="6" s="1"/>
  <c r="I22" i="7"/>
  <c r="I50" s="1"/>
  <c r="I15"/>
  <c r="I10"/>
  <c r="I40" s="1"/>
  <c r="I7"/>
  <c r="I77" s="1"/>
  <c r="H35" i="6"/>
  <c r="J35" s="1"/>
  <c r="H31"/>
  <c r="H24"/>
  <c r="J24" s="1"/>
  <c r="H16"/>
  <c r="J16" s="1"/>
  <c r="H29" i="13"/>
  <c r="L108" i="7"/>
  <c r="H35" i="11" s="1"/>
  <c r="J35" s="1"/>
  <c r="H108" i="7"/>
  <c r="J52"/>
  <c r="I18"/>
  <c r="I13"/>
  <c r="M107"/>
  <c r="M69"/>
  <c r="F70"/>
  <c r="J57" i="2" s="1"/>
  <c r="E108" i="7"/>
  <c r="J60" i="11" s="1"/>
  <c r="E70" i="7"/>
  <c r="J56" i="2" s="1"/>
  <c r="L52" i="7"/>
  <c r="H29" i="6" s="1"/>
  <c r="J29" s="1"/>
  <c r="M40" i="7"/>
  <c r="M52" s="1"/>
  <c r="K52"/>
  <c r="D28" i="6" s="1"/>
  <c r="K99" i="7"/>
  <c r="K108" s="1"/>
  <c r="D34" i="11" s="1"/>
  <c r="J34" s="1"/>
  <c r="K62" i="7"/>
  <c r="M99"/>
  <c r="E89"/>
  <c r="J48" i="13" s="1"/>
  <c r="J53" s="1"/>
  <c r="L16" i="9" s="1"/>
  <c r="M80" i="7"/>
  <c r="E52"/>
  <c r="J51" i="6" s="1"/>
  <c r="D108" i="7"/>
  <c r="J59" i="11" s="1"/>
  <c r="D70" i="7"/>
  <c r="J55" i="2" s="1"/>
  <c r="M96" i="7"/>
  <c r="M77"/>
  <c r="M89" s="1"/>
  <c r="M59"/>
  <c r="K59"/>
  <c r="H90" i="11"/>
  <c r="I80" i="7"/>
  <c r="J14" i="2"/>
  <c r="F98"/>
  <c r="I59" i="7"/>
  <c r="J22" i="11"/>
  <c r="J28"/>
  <c r="H36" i="6"/>
  <c r="J36" s="1"/>
  <c r="H23"/>
  <c r="J23" s="1"/>
  <c r="H17"/>
  <c r="J17" s="1"/>
  <c r="J15" s="1"/>
  <c r="H27" i="2"/>
  <c r="J27" s="1"/>
  <c r="H26"/>
  <c r="J26" s="1"/>
  <c r="H19"/>
  <c r="J19" s="1"/>
  <c r="J18" s="1"/>
  <c r="H14" i="11"/>
  <c r="H24" i="9"/>
  <c r="H15"/>
  <c r="H28" i="6"/>
  <c r="H31" i="2"/>
  <c r="H26" i="13"/>
  <c r="I23" i="7"/>
  <c r="I51" s="1"/>
  <c r="I19"/>
  <c r="I68" s="1"/>
  <c r="I17"/>
  <c r="I105" s="1"/>
  <c r="I14"/>
  <c r="I12"/>
  <c r="I9"/>
  <c r="I96" l="1"/>
  <c r="J25" i="2"/>
  <c r="J34" i="6"/>
  <c r="J26" i="13"/>
  <c r="J21" i="6"/>
  <c r="I62" i="7"/>
  <c r="I99"/>
  <c r="J56" i="6"/>
  <c r="L14" i="9" s="1"/>
  <c r="I43" i="7"/>
  <c r="I65"/>
  <c r="I83"/>
  <c r="I102"/>
  <c r="I46"/>
  <c r="I45"/>
  <c r="I47"/>
  <c r="I37"/>
  <c r="K70"/>
  <c r="D31" i="2" s="1"/>
  <c r="J31" s="1"/>
  <c r="J28" i="6"/>
  <c r="M70" i="7"/>
  <c r="M108"/>
  <c r="H59" i="2"/>
  <c r="I64" i="7"/>
  <c r="I82"/>
  <c r="I101"/>
  <c r="I42"/>
  <c r="H25" i="9"/>
  <c r="J14" i="11"/>
  <c r="H63"/>
  <c r="J63" s="1"/>
  <c r="N15" i="9" s="1"/>
  <c r="N25" s="1"/>
  <c r="F101" i="11"/>
  <c r="D98" i="2"/>
  <c r="H98"/>
  <c r="I61" i="7"/>
  <c r="I79"/>
  <c r="I98"/>
  <c r="I39"/>
  <c r="I52" s="1"/>
  <c r="D31" i="6" s="1"/>
  <c r="J31" s="1"/>
  <c r="M14" i="9" s="1"/>
  <c r="I66" i="7"/>
  <c r="I103"/>
  <c r="J59" i="2" l="1"/>
  <c r="N13" i="9" s="1"/>
  <c r="N24" s="1"/>
  <c r="I108" i="7"/>
  <c r="D37" i="11" s="1"/>
  <c r="J37" s="1"/>
  <c r="J33" s="1"/>
  <c r="I70" i="7"/>
  <c r="D34" i="2" s="1"/>
  <c r="J34" s="1"/>
  <c r="J30" s="1"/>
  <c r="I89" i="7"/>
  <c r="D29" i="13" s="1"/>
  <c r="J29" s="1"/>
  <c r="M16" i="9" s="1"/>
  <c r="M15"/>
  <c r="D101" i="11"/>
  <c r="H101"/>
  <c r="J27" i="6"/>
  <c r="M13" i="9" l="1"/>
  <c r="M24" s="1"/>
  <c r="J25" i="13"/>
  <c r="J41" s="1"/>
  <c r="J50" i="11"/>
  <c r="J51"/>
  <c r="J46" i="2"/>
  <c r="J47"/>
  <c r="J44" i="6"/>
  <c r="J45"/>
  <c r="M25" i="9"/>
  <c r="J42" i="13" l="1"/>
  <c r="J47" i="6"/>
  <c r="J14" i="9" s="1"/>
  <c r="K14" s="1"/>
  <c r="J44" i="13"/>
  <c r="J55" s="1"/>
  <c r="J62" i="11" s="1"/>
  <c r="J71" s="1"/>
  <c r="J49" i="2"/>
  <c r="F100" s="1"/>
  <c r="J53" i="11"/>
  <c r="F103" s="1"/>
  <c r="J58" i="6"/>
  <c r="J58" i="2" s="1"/>
  <c r="J67" s="1"/>
  <c r="J52" l="1"/>
  <c r="H89"/>
  <c r="F89"/>
  <c r="J70"/>
  <c r="H100"/>
  <c r="J50"/>
  <c r="J56" i="11"/>
  <c r="D92"/>
  <c r="F92"/>
  <c r="D103"/>
  <c r="J15" i="9"/>
  <c r="K15" s="1"/>
  <c r="J74" i="11"/>
  <c r="J75" s="1"/>
  <c r="J16" i="9"/>
  <c r="K16" s="1"/>
  <c r="K25" s="1"/>
  <c r="H103" i="11"/>
  <c r="H92"/>
  <c r="J54"/>
  <c r="J13" i="9"/>
  <c r="J24" s="1"/>
  <c r="D100" i="2"/>
  <c r="D89"/>
  <c r="J71"/>
  <c r="F93"/>
  <c r="F104"/>
  <c r="D93"/>
  <c r="H93"/>
  <c r="D104"/>
  <c r="H104"/>
  <c r="C13" i="9"/>
  <c r="J73" i="2"/>
  <c r="J68"/>
  <c r="D91"/>
  <c r="H91"/>
  <c r="D102"/>
  <c r="H102"/>
  <c r="F91"/>
  <c r="F102"/>
  <c r="L13" i="9"/>
  <c r="L24" s="1"/>
  <c r="H107" i="11"/>
  <c r="J72"/>
  <c r="D94"/>
  <c r="H94"/>
  <c r="D105"/>
  <c r="H105"/>
  <c r="L15" i="9"/>
  <c r="L25" s="1"/>
  <c r="F94" i="11"/>
  <c r="F105"/>
  <c r="J25" i="9"/>
  <c r="K13" l="1"/>
  <c r="K24" s="1"/>
  <c r="C15"/>
  <c r="I15" s="1"/>
  <c r="H96" i="11"/>
  <c r="F96"/>
  <c r="J77"/>
  <c r="D107"/>
  <c r="D96"/>
  <c r="F107"/>
  <c r="I13" i="9"/>
  <c r="C24"/>
  <c r="C25" l="1"/>
  <c r="D7" i="17"/>
  <c r="I24" i="9"/>
  <c r="D29" i="17" s="1"/>
  <c r="D9"/>
  <c r="I25" i="9"/>
  <c r="D30" i="17" s="1"/>
</calcChain>
</file>

<file path=xl/comments1.xml><?xml version="1.0" encoding="utf-8"?>
<comments xmlns="http://schemas.openxmlformats.org/spreadsheetml/2006/main">
  <authors>
    <author>Kate Painter</author>
  </authors>
  <commentList>
    <comment ref="B14" authorId="0">
      <text>
        <r>
          <rPr>
            <sz val="8"/>
            <color indexed="81"/>
            <rFont val="Tahoma"/>
            <family val="2"/>
          </rPr>
          <t xml:space="preserve">All summer fallow costs are included in the costs for producing winter wheat, plus 1 year's interest. 
</t>
        </r>
      </text>
    </comment>
    <comment ref="B16" authorId="0">
      <text>
        <r>
          <rPr>
            <sz val="8"/>
            <color indexed="81"/>
            <rFont val="Tahoma"/>
            <family val="2"/>
          </rPr>
          <t xml:space="preserve">All summer fallow costs are included in the costs for producing winter wheat, plus 1 year's interest.
</t>
        </r>
      </text>
    </comment>
  </commentList>
</comments>
</file>

<file path=xl/sharedStrings.xml><?xml version="1.0" encoding="utf-8"?>
<sst xmlns="http://schemas.openxmlformats.org/spreadsheetml/2006/main" count="911" uniqueCount="359">
  <si>
    <t>Click on crop to see machinery costs by crop.</t>
  </si>
  <si>
    <t>Note: Farm size is assumed to be 2500 acres for the purposes of machinery cost calculations.</t>
  </si>
  <si>
    <r>
      <t>1</t>
    </r>
    <r>
      <rPr>
        <sz val="10"/>
        <rFont val="Arial"/>
      </rPr>
      <t>Covers legal, accounting, and utility fees. Calculated as 5% of Variable Costs.</t>
    </r>
  </si>
  <si>
    <t>200HP-CT, 90' Sprayer</t>
  </si>
  <si>
    <t>Production Costs for Conventionally Tilled Winter Wheat, Under 15" Precipitation</t>
  </si>
  <si>
    <t>Schedule of Operations for Conventionally Tilled Winter Wheat, Under 15" Precipitation</t>
  </si>
  <si>
    <t>Rental Sprayer, 12 oz Roundup, 3.2 oz Excel 90, 50 oz Ultra Pro</t>
  </si>
  <si>
    <t>Weeding</t>
  </si>
  <si>
    <t>200HP-CT</t>
  </si>
  <si>
    <t xml:space="preserve">July </t>
  </si>
  <si>
    <t xml:space="preserve">August </t>
  </si>
  <si>
    <t>Nitrogen (dry)</t>
  </si>
  <si>
    <t>Phosphorous (dry)</t>
  </si>
  <si>
    <t>Annual</t>
  </si>
  <si>
    <t>Taxes,</t>
  </si>
  <si>
    <t xml:space="preserve">Annual </t>
  </si>
  <si>
    <t>Repairs</t>
  </si>
  <si>
    <t>Gallons</t>
  </si>
  <si>
    <t>Housing,</t>
  </si>
  <si>
    <t>Type of</t>
  </si>
  <si>
    <t>Replacement</t>
  </si>
  <si>
    <t>Age When</t>
  </si>
  <si>
    <t>Years of</t>
  </si>
  <si>
    <t>Hours</t>
  </si>
  <si>
    <t>Salvage</t>
  </si>
  <si>
    <t>(Materials</t>
  </si>
  <si>
    <t>of</t>
  </si>
  <si>
    <t>Insur.,</t>
  </si>
  <si>
    <t>Labor</t>
  </si>
  <si>
    <t>Acres</t>
  </si>
  <si>
    <t>Machine</t>
  </si>
  <si>
    <t>Value</t>
  </si>
  <si>
    <t>Purchased</t>
  </si>
  <si>
    <t>of Use</t>
  </si>
  <si>
    <t>&amp; Labor)</t>
  </si>
  <si>
    <t>Fuel/Hr.</t>
  </si>
  <si>
    <t>Licenses</t>
  </si>
  <si>
    <t>Multiplier</t>
  </si>
  <si>
    <t>per Hour</t>
  </si>
  <si>
    <t>$</t>
  </si>
  <si>
    <t>%</t>
  </si>
  <si>
    <t>4WD-ATV</t>
  </si>
  <si>
    <t>50HP-WT w/Bucket</t>
  </si>
  <si>
    <t>40' Rodweeder</t>
  </si>
  <si>
    <t>36' Cultivator w/Harrow</t>
  </si>
  <si>
    <t>25' Disc</t>
  </si>
  <si>
    <t>Trucks:</t>
  </si>
  <si>
    <t>Miles/year:</t>
  </si>
  <si>
    <t>MPG:</t>
  </si>
  <si>
    <t>2-Ton Truck</t>
  </si>
  <si>
    <t>Tandem Axle Truck</t>
  </si>
  <si>
    <t>Trap Wagon</t>
  </si>
  <si>
    <t>3/4-Ton Pickup</t>
  </si>
  <si>
    <t>Total</t>
  </si>
  <si>
    <t>Fuel:</t>
  </si>
  <si>
    <t>Price/unit</t>
  </si>
  <si>
    <t xml:space="preserve">Diesel </t>
  </si>
  <si>
    <t>Gas</t>
  </si>
  <si>
    <t>Nitrogen</t>
  </si>
  <si>
    <t>Phosphorous</t>
  </si>
  <si>
    <t>Sulfur</t>
  </si>
  <si>
    <t>Adjuvants:</t>
  </si>
  <si>
    <t>Glyphosphate</t>
  </si>
  <si>
    <t>Custom Rental:</t>
  </si>
  <si>
    <t>90' Rental Sprayer</t>
  </si>
  <si>
    <t>Machinery:</t>
  </si>
  <si>
    <r>
      <t>Overhead</t>
    </r>
    <r>
      <rPr>
        <vertAlign val="superscript"/>
        <sz val="10"/>
        <rFont val="Arial"/>
        <family val="2"/>
      </rPr>
      <t>1</t>
    </r>
  </si>
  <si>
    <r>
      <t>Operating Interest</t>
    </r>
    <r>
      <rPr>
        <vertAlign val="superscript"/>
        <sz val="10"/>
        <rFont val="Arial"/>
        <family val="2"/>
      </rPr>
      <t>2</t>
    </r>
  </si>
  <si>
    <t xml:space="preserve">70 lb Seed </t>
  </si>
  <si>
    <t>Yellow Cells: Data are from Summary page (yellow tab).</t>
  </si>
  <si>
    <t>Green Cells: Data are from Input Costs page (green tab).</t>
  </si>
  <si>
    <t>Blue Cells: Data are from Machinery page (blue tab).</t>
  </si>
  <si>
    <t>Fertilizer Applicator</t>
  </si>
  <si>
    <t>Labor:</t>
  </si>
  <si>
    <t>hour</t>
  </si>
  <si>
    <t>Hourly machine labor*</t>
  </si>
  <si>
    <t>Rental Sprayer</t>
  </si>
  <si>
    <t>Land Cost*</t>
  </si>
  <si>
    <t>*Based on Share Rent Percentage:</t>
  </si>
  <si>
    <t xml:space="preserve">  Landlord</t>
  </si>
  <si>
    <t>90' Sprayer (Rental)</t>
  </si>
  <si>
    <t>36' Direct Seed Drill</t>
  </si>
  <si>
    <r>
      <t>Chemical Fallow Cost</t>
    </r>
    <r>
      <rPr>
        <vertAlign val="superscript"/>
        <sz val="10"/>
        <rFont val="Arial"/>
        <family val="2"/>
      </rPr>
      <t>3</t>
    </r>
  </si>
  <si>
    <r>
      <t>3</t>
    </r>
    <r>
      <rPr>
        <sz val="10"/>
        <rFont val="Arial"/>
      </rPr>
      <t>Chem fallow cost is calculated as the total cost for fallow production plus 9% interest.</t>
    </r>
  </si>
  <si>
    <t>Acknowledgments:</t>
  </si>
  <si>
    <t>September</t>
  </si>
  <si>
    <t>May</t>
  </si>
  <si>
    <t>.</t>
  </si>
  <si>
    <t>2,4-D</t>
  </si>
  <si>
    <t>Maverick</t>
  </si>
  <si>
    <t>Roundup</t>
  </si>
  <si>
    <t>Sulfur (dry)</t>
  </si>
  <si>
    <t>Machinery Costs:</t>
  </si>
  <si>
    <r>
      <t>1</t>
    </r>
    <r>
      <rPr>
        <sz val="10"/>
        <rFont val="Arial"/>
      </rPr>
      <t>Covers legal, accounting, and utility fees. Calculated as 5% of operating expenses.</t>
    </r>
  </si>
  <si>
    <r>
      <t>2</t>
    </r>
    <r>
      <rPr>
        <sz val="10"/>
        <rFont val="Arial"/>
      </rPr>
      <t>Calculated as 7% interest on operating capital for 6 months.</t>
    </r>
  </si>
  <si>
    <t xml:space="preserve">Details on variable and fixed machinery costs, including fuel, repairs, and machine labor, are located in the </t>
  </si>
  <si>
    <t>Conventional Tillage Summer Fallow Machinery Costs table.</t>
  </si>
  <si>
    <t>Reduced Tillage Winter Wheat Machinery Costs table.</t>
  </si>
  <si>
    <t>Variable Costs</t>
  </si>
  <si>
    <t>Total Variable Costs</t>
  </si>
  <si>
    <t>Fixed Costs:</t>
  </si>
  <si>
    <t>Total Fixed Costs</t>
  </si>
  <si>
    <t>Fixed Costs per Unit</t>
  </si>
  <si>
    <t>Variable Costs per Unit</t>
  </si>
  <si>
    <t>Net Returns Above Variable Costs</t>
  </si>
  <si>
    <t>Quantity</t>
  </si>
  <si>
    <t>Price or</t>
  </si>
  <si>
    <t>Value or</t>
  </si>
  <si>
    <t>Item</t>
  </si>
  <si>
    <t>Per Acre</t>
  </si>
  <si>
    <t>Unit</t>
  </si>
  <si>
    <t>Cost</t>
  </si>
  <si>
    <r>
      <t xml:space="preserve">Legend: </t>
    </r>
    <r>
      <rPr>
        <b/>
        <i/>
        <sz val="10"/>
        <rFont val="Arial"/>
        <family val="2"/>
      </rPr>
      <t>Follow directions below to preserve equations in this spreadsheet.</t>
    </r>
  </si>
  <si>
    <t>Orange Cells: You may adjust data in orange cells. All other data will adjust automatically.</t>
  </si>
  <si>
    <t>Gross Returns</t>
  </si>
  <si>
    <t>Seed:</t>
  </si>
  <si>
    <t>Fertilizer:</t>
  </si>
  <si>
    <t>Pesticides:</t>
  </si>
  <si>
    <t>Custom &amp; Consultants:</t>
  </si>
  <si>
    <t>Other:</t>
  </si>
  <si>
    <t>Crop Prices:</t>
  </si>
  <si>
    <t>Summary of Returns by Crop and Rotation ($/acre/year)</t>
  </si>
  <si>
    <t>($/ac/yr)</t>
  </si>
  <si>
    <t>1/3 Crop Value – (1/3 Fertilizer Cost + 1/3 Chemical Cost + 1/3 Crop Insurance + Land Taxes)</t>
  </si>
  <si>
    <t>Schedule of Operations for Direct-Seeded Winter Wheat, Under 15" Precipitation</t>
  </si>
  <si>
    <t>Rental Fertilizer Applicator, 80 lb seed, 60 lb N,</t>
  </si>
  <si>
    <t xml:space="preserve">Drill/Fert. </t>
  </si>
  <si>
    <t>November</t>
  </si>
  <si>
    <t>Payment</t>
  </si>
  <si>
    <t>(Cost-Share)</t>
  </si>
  <si>
    <t>36' JD-455 Drill</t>
  </si>
  <si>
    <t>LEGEND:</t>
  </si>
  <si>
    <t>CT WW</t>
  </si>
  <si>
    <r>
      <t>Legend:</t>
    </r>
    <r>
      <rPr>
        <b/>
        <i/>
        <sz val="10"/>
        <rFont val="Arial"/>
        <family val="2"/>
      </rPr>
      <t xml:space="preserve"> Follow directions below to preserve equations in this spreadsheet.</t>
    </r>
  </si>
  <si>
    <t>WW ($/bu)</t>
  </si>
  <si>
    <t>Input Prices</t>
  </si>
  <si>
    <t>Orange Cells: Adjust data in orange cells and all other data will be updated.</t>
  </si>
  <si>
    <t>Life</t>
  </si>
  <si>
    <t>Machinery depreciation</t>
  </si>
  <si>
    <t>Machinery interest</t>
  </si>
  <si>
    <t xml:space="preserve">Fuel </t>
  </si>
  <si>
    <t>Lubricants</t>
  </si>
  <si>
    <t>gal</t>
  </si>
  <si>
    <t>Month</t>
  </si>
  <si>
    <t>August</t>
  </si>
  <si>
    <t>Operation</t>
  </si>
  <si>
    <t>March</t>
  </si>
  <si>
    <t>Tooling</t>
  </si>
  <si>
    <t>Materials/Service</t>
  </si>
  <si>
    <t>Harvest</t>
  </si>
  <si>
    <t>INSTRUCTIONS AND ASSUMPTIONS</t>
  </si>
  <si>
    <t xml:space="preserve">  Tenant</t>
  </si>
  <si>
    <t>Machinery taxes, housing, insurance, licenses</t>
  </si>
  <si>
    <t>Land Taxes</t>
  </si>
  <si>
    <t>Ultra Pro</t>
  </si>
  <si>
    <t>Excel 90</t>
  </si>
  <si>
    <t>Disc</t>
  </si>
  <si>
    <t>32' Split Packer Drill</t>
  </si>
  <si>
    <t>April</t>
  </si>
  <si>
    <t>Crop Insurance</t>
  </si>
  <si>
    <t>90' Sprayer</t>
  </si>
  <si>
    <t>25' Combine</t>
  </si>
  <si>
    <t>Wheat</t>
  </si>
  <si>
    <t>bu</t>
  </si>
  <si>
    <t>Wheat Seed</t>
  </si>
  <si>
    <t>Machinery insurance, taxes, housing, license</t>
  </si>
  <si>
    <t>Production Costs for Conventionally Tilled Summer Fallow, Under 15" Precipitation</t>
  </si>
  <si>
    <t>Spray Weeds</t>
  </si>
  <si>
    <t xml:space="preserve">May </t>
  </si>
  <si>
    <t>Cultivate/Fertilize</t>
  </si>
  <si>
    <t>200HP-WT</t>
  </si>
  <si>
    <t xml:space="preserve">June </t>
  </si>
  <si>
    <t>Cost/Acre</t>
  </si>
  <si>
    <t>Land Costs:</t>
  </si>
  <si>
    <t>SF</t>
  </si>
  <si>
    <t>RT WW</t>
  </si>
  <si>
    <t>CF</t>
  </si>
  <si>
    <t>SF, CTWW</t>
  </si>
  <si>
    <t>CF, RTWW</t>
  </si>
  <si>
    <t>Production Costs for Direct-Seeded Winter Wheat, Under 15" Precipitation</t>
  </si>
  <si>
    <t xml:space="preserve">Machinery Repairs </t>
  </si>
  <si>
    <t>Projected</t>
  </si>
  <si>
    <t>Machinery Repairs</t>
  </si>
  <si>
    <t>Storage Facility &amp; Equip. Repairs</t>
  </si>
  <si>
    <t>Machinery Labor</t>
  </si>
  <si>
    <t>Other Labor</t>
  </si>
  <si>
    <t>Total Costs per Acre</t>
  </si>
  <si>
    <t>Total Cost per Unit</t>
  </si>
  <si>
    <t>Returns to Risk</t>
  </si>
  <si>
    <t>Breakeven Analysis:</t>
  </si>
  <si>
    <t>-</t>
  </si>
  <si>
    <t>Base</t>
  </si>
  <si>
    <t>+</t>
  </si>
  <si>
    <t>Yield</t>
  </si>
  <si>
    <t>Price</t>
  </si>
  <si>
    <t>Operating Cost Breakeven</t>
  </si>
  <si>
    <t>Ownership Cost Breakeven</t>
  </si>
  <si>
    <t>Total Cost Breakeven</t>
  </si>
  <si>
    <t>lb</t>
  </si>
  <si>
    <t>acre</t>
  </si>
  <si>
    <t>oz</t>
  </si>
  <si>
    <t>Crop insurance</t>
  </si>
  <si>
    <t>Total Annual Usage (hours):</t>
  </si>
  <si>
    <t>50HP-WT</t>
  </si>
  <si>
    <t>36' JD455 Drill</t>
  </si>
  <si>
    <t>Crop Price:</t>
  </si>
  <si>
    <t>CTWW: Conv. Tillage Winter Wheat</t>
  </si>
  <si>
    <t>SF, CT WW</t>
  </si>
  <si>
    <t>CF, RT WW</t>
  </si>
  <si>
    <t>Since farming is inherently variable and constantly changing, we hope that this spreadsheet format will be helpful in adjusting these budgets to reflect your particular operation. Enterprise costs and returns vary from one location to the next and over time for any particular farming operation. Variability stems from differences in the following:</t>
  </si>
  <si>
    <t>• Capital, labor, and natural resources</t>
  </si>
  <si>
    <t>• Type and size of machinery complement</t>
  </si>
  <si>
    <t>• Cultural practices</t>
  </si>
  <si>
    <t>• Size of farm enterprise</t>
  </si>
  <si>
    <t>• Crop yields</t>
  </si>
  <si>
    <t>• Input prices</t>
  </si>
  <si>
    <t>• Commodity prices</t>
  </si>
  <si>
    <t>• Management skill</t>
  </si>
  <si>
    <t>Notes:</t>
  </si>
  <si>
    <t>Seed</t>
  </si>
  <si>
    <t>Rental Fertilizer Applicator</t>
  </si>
  <si>
    <t>Includes costs of previous year's summer fallow plus one year's interest.</t>
  </si>
  <si>
    <t>*Includes all applicable state and federal taxes.</t>
  </si>
  <si>
    <t>Input Prices:</t>
  </si>
  <si>
    <t>200 horsepower crawler tractor</t>
  </si>
  <si>
    <t>200 horsepower wheel tractor</t>
  </si>
  <si>
    <t>200HP-CT:</t>
  </si>
  <si>
    <t>200HP-WT:</t>
  </si>
  <si>
    <t>200HP-CT,</t>
  </si>
  <si>
    <t>Total Cost (TC)</t>
  </si>
  <si>
    <t>http://csanr.wsu.edu/Publications/FarmMgmtEconomics.htm</t>
  </si>
  <si>
    <t>Budget spreadsheets are available at the following links:</t>
  </si>
  <si>
    <t>Summary of Returns by Crop and Rotation ($/acre/yr)</t>
  </si>
  <si>
    <t>Returns</t>
  </si>
  <si>
    <t>Land</t>
  </si>
  <si>
    <t xml:space="preserve">Yield </t>
  </si>
  <si>
    <t>Revenue</t>
  </si>
  <si>
    <t>over TC</t>
  </si>
  <si>
    <t>Variable</t>
  </si>
  <si>
    <t>over VC</t>
  </si>
  <si>
    <t>Fixed</t>
  </si>
  <si>
    <t>By Crop:</t>
  </si>
  <si>
    <t>per acre</t>
  </si>
  <si>
    <t>per unit</t>
  </si>
  <si>
    <t>($/acre)</t>
  </si>
  <si>
    <t>Costs (VC)</t>
  </si>
  <si>
    <t>Costs</t>
  </si>
  <si>
    <t>ton</t>
  </si>
  <si>
    <t>Summer Fallow (SF)</t>
  </si>
  <si>
    <t>By Rotation:</t>
  </si>
  <si>
    <t>Conv. Tillage Winter Wheat (CTWW)</t>
  </si>
  <si>
    <t>Reduced Tillage Winter Wheat (RTWW)</t>
  </si>
  <si>
    <t>*August 2009 farmgate prices for grains, posted by the Union Elevator, Lind, WA, www.unionelevator.com, accessed Jan 2009.</t>
  </si>
  <si>
    <r>
      <t>Hourly Machinery Costs for Conventional Tillage</t>
    </r>
    <r>
      <rPr>
        <b/>
        <sz val="12"/>
        <color indexed="10"/>
        <rFont val="Arial"/>
        <family val="2"/>
      </rPr>
      <t xml:space="preserve"> Winter Wheat</t>
    </r>
    <r>
      <rPr>
        <b/>
        <sz val="12"/>
        <rFont val="Arial"/>
        <family val="2"/>
      </rPr>
      <t xml:space="preserve"> Dryland Grain Farms, Under 15" Precipitation ($/acre)</t>
    </r>
  </si>
  <si>
    <t>Costs of producing chemical fallow, plus a 9% interest charge, are added to the cost of wheat production.</t>
  </si>
  <si>
    <t xml:space="preserve">Schedule of Operations for Conventionally Tilled Summer Fallow, Under 15" of Precipitation </t>
  </si>
  <si>
    <t>Reduced Tillage Equipment:</t>
  </si>
  <si>
    <t>Conventional Tillage Equipment:</t>
  </si>
  <si>
    <t>Machinery Complement for Conventional and Reduced Tillage Dryland Grain Farms, Under 15" Precipitation</t>
  </si>
  <si>
    <t>Costs of producing summer fallow, plus 9% interest charge, are added to the cost of wheat production.</t>
  </si>
  <si>
    <t>Chemical Fallow (CF)</t>
  </si>
  <si>
    <t>Production Costs for Chemical Fallow, Under 15" Precipitation</t>
  </si>
  <si>
    <t>Schedule of Operations for Chemical Fallow Preceding Winter Wheat,  Under 15" Precipitation</t>
  </si>
  <si>
    <t xml:space="preserve">200HP-CT, 90' Sprayer </t>
  </si>
  <si>
    <t>Variable Costs (units/acre):</t>
  </si>
  <si>
    <t>Total Costs ($/acre)</t>
  </si>
  <si>
    <t>Total Annual Usage (miles):</t>
  </si>
  <si>
    <t xml:space="preserve">  Depreciation</t>
  </si>
  <si>
    <t xml:space="preserve">  Interest</t>
  </si>
  <si>
    <t xml:space="preserve">  Taxes, Housing, Insurance, Licenses</t>
  </si>
  <si>
    <t xml:space="preserve">  Repairs ($/acre)</t>
  </si>
  <si>
    <t xml:space="preserve">  Labor ($/acre)</t>
  </si>
  <si>
    <t>Labor (hr/ac)</t>
  </si>
  <si>
    <t xml:space="preserve">  Fuel ($/acre)</t>
  </si>
  <si>
    <t>Fuel (gal/ac)</t>
  </si>
  <si>
    <t xml:space="preserve">  Lube ($/acre)</t>
  </si>
  <si>
    <t>Total Cost</t>
  </si>
  <si>
    <r>
      <t>Summer Fallow Cost</t>
    </r>
    <r>
      <rPr>
        <vertAlign val="superscript"/>
        <sz val="10"/>
        <rFont val="Arial"/>
        <family val="2"/>
      </rPr>
      <t>4</t>
    </r>
  </si>
  <si>
    <r>
      <t>2</t>
    </r>
    <r>
      <rPr>
        <sz val="10"/>
        <rFont val="Arial"/>
      </rPr>
      <t>Covers legal, accounting, and utility fees. Calculated as 5% of Variable Costs.</t>
    </r>
  </si>
  <si>
    <t>0.75-Ton 4WD Pickup</t>
  </si>
  <si>
    <t>Tractors, other equipment:</t>
  </si>
  <si>
    <r>
      <t xml:space="preserve">Hourly Machinery Costs for Conventional Tillage </t>
    </r>
    <r>
      <rPr>
        <b/>
        <sz val="12"/>
        <color indexed="10"/>
        <rFont val="Arial"/>
        <family val="2"/>
      </rPr>
      <t>Summer Fallow</t>
    </r>
    <r>
      <rPr>
        <b/>
        <sz val="12"/>
        <rFont val="Arial"/>
        <family val="2"/>
      </rPr>
      <t xml:space="preserve"> Dryland Grain Farms, Under 15" Precipitation ($/acre)</t>
    </r>
  </si>
  <si>
    <t>RTWW: Reduced Tillage Winter Wheat</t>
  </si>
  <si>
    <t>**In a crop- and cost-share arrangement, the landowner and the farm manager split the crop and the specified costs, typically fertilizer, chemicals</t>
  </si>
  <si>
    <t>and crop insurance.</t>
  </si>
  <si>
    <t>Cash Rent:</t>
  </si>
  <si>
    <t>Cash Rent</t>
  </si>
  <si>
    <r>
      <t>4</t>
    </r>
    <r>
      <rPr>
        <sz val="10"/>
        <rFont val="Arial"/>
      </rPr>
      <t>Summer fallow cost is calculated as the total cost for fallow production plus 9% interest.</t>
    </r>
  </si>
  <si>
    <r>
      <t>1</t>
    </r>
    <r>
      <rPr>
        <sz val="10"/>
        <rFont val="Arial"/>
      </rPr>
      <t>Four applications of 22 oz each. See CF Calendar.</t>
    </r>
  </si>
  <si>
    <r>
      <t>2</t>
    </r>
    <r>
      <rPr>
        <sz val="10"/>
        <rFont val="Arial"/>
      </rPr>
      <t>Covers legal, accounting, and utility fees. Calculated as 5% of operating expenses.</t>
    </r>
  </si>
  <si>
    <t xml:space="preserve">*Maverick is applied at the rate of 2/3 oz per acre on every other wheat crop. </t>
  </si>
  <si>
    <t>Rental Sprayer, 10 oz 2,4-D, 2/3 oz Maverick*</t>
  </si>
  <si>
    <t>Rental Fertilizer Applicator, 60 lb N, 10 lb P, 12 lb S</t>
  </si>
  <si>
    <t>10 lb P, 12 lb S</t>
  </si>
  <si>
    <t>are located in the Conventional Tillage Winter Wheat Machinery Costs table.</t>
  </si>
  <si>
    <t>Details on variable and fixed machinery costs, including fuel, repairs, and machine labor,</t>
  </si>
  <si>
    <t>Chem Fallow Machinery Costs table.</t>
  </si>
  <si>
    <t>Tractors, Combines, ATVs:</t>
  </si>
  <si>
    <t>Cost/Unit</t>
  </si>
  <si>
    <t>Machinery insurance, taxes housing, licenses</t>
  </si>
  <si>
    <r>
      <t xml:space="preserve">Hourly Machinery Costs for Reduced Tillage </t>
    </r>
    <r>
      <rPr>
        <b/>
        <sz val="12"/>
        <color indexed="10"/>
        <rFont val="Arial"/>
        <family val="2"/>
      </rPr>
      <t>Chemical Fallow</t>
    </r>
    <r>
      <rPr>
        <b/>
        <sz val="12"/>
        <rFont val="Arial"/>
        <family val="2"/>
      </rPr>
      <t xml:space="preserve"> Dryland Grain Farms, Under 15" Precipitation ($/acre)</t>
    </r>
  </si>
  <si>
    <r>
      <t xml:space="preserve">Hourly Machinery Costs for Reduced Tillage </t>
    </r>
    <r>
      <rPr>
        <b/>
        <sz val="12"/>
        <color indexed="10"/>
        <rFont val="Arial"/>
        <family val="2"/>
      </rPr>
      <t xml:space="preserve">Winter Wheat </t>
    </r>
    <r>
      <rPr>
        <b/>
        <sz val="12"/>
        <rFont val="Arial"/>
        <family val="2"/>
      </rPr>
      <t>Dryland Grain Farms, Under 15" Precipitation ($/acre)</t>
    </r>
  </si>
  <si>
    <t>Land Tax:</t>
  </si>
  <si>
    <t>Note: Per hour machinery costs can be changed in this master table and they will update throughout. Per acre costs are calculated in the Machine Cost program using the values listed in the Machinery Complement tab.</t>
  </si>
  <si>
    <t>Fixed Costs ($/acre):</t>
  </si>
  <si>
    <r>
      <t>Fertilizer</t>
    </r>
    <r>
      <rPr>
        <vertAlign val="superscript"/>
        <sz val="10"/>
        <rFont val="Arial"/>
        <family val="2"/>
      </rPr>
      <t>1</t>
    </r>
    <r>
      <rPr>
        <sz val="10"/>
        <rFont val="Arial"/>
        <family val="2"/>
      </rPr>
      <t>:</t>
    </r>
  </si>
  <si>
    <r>
      <t>1</t>
    </r>
    <r>
      <rPr>
        <sz val="10"/>
        <rFont val="Arial"/>
      </rPr>
      <t>Fertilizer is actually applied in May of the preceding year.</t>
    </r>
  </si>
  <si>
    <r>
      <t>Overhead</t>
    </r>
    <r>
      <rPr>
        <vertAlign val="superscript"/>
        <sz val="10"/>
        <rFont val="Arial"/>
        <family val="2"/>
      </rPr>
      <t>2</t>
    </r>
  </si>
  <si>
    <r>
      <t>Operating Interest</t>
    </r>
    <r>
      <rPr>
        <vertAlign val="superscript"/>
        <sz val="10"/>
        <rFont val="Arial"/>
        <family val="2"/>
      </rPr>
      <t>3</t>
    </r>
  </si>
  <si>
    <r>
      <t>3</t>
    </r>
    <r>
      <rPr>
        <sz val="10"/>
        <rFont val="Arial"/>
      </rPr>
      <t>Calculated as 7% interest on operating capital for 6 months.</t>
    </r>
  </si>
  <si>
    <t>Hourly Machinery Costs for Conventional and Reduced Tillage Dryland Grain Farms, Under 15" Precipitation ($/acre)</t>
  </si>
  <si>
    <t>200HP-CT with:</t>
  </si>
  <si>
    <t>36' Cultivator</t>
  </si>
  <si>
    <t>200HP-WT with:</t>
  </si>
  <si>
    <t>36' Cultivator &amp; Harrow</t>
  </si>
  <si>
    <t>Costs by Crop:</t>
  </si>
  <si>
    <t>Summer Fallow</t>
  </si>
  <si>
    <t>Share to operator</t>
  </si>
  <si>
    <t>Share to owner</t>
  </si>
  <si>
    <t>Crop &amp; Cost</t>
  </si>
  <si>
    <t>Share**</t>
  </si>
  <si>
    <t>Operator:</t>
  </si>
  <si>
    <t>Owner:</t>
  </si>
  <si>
    <t>Budget spreadsheets are available at the following link:</t>
  </si>
  <si>
    <t>Conventional Tillage Winter Wheat</t>
  </si>
  <si>
    <t>Chemical Fallow</t>
  </si>
  <si>
    <t>Reduced Tillage Winter Wheat</t>
  </si>
  <si>
    <t>Back to Costs by Crop</t>
  </si>
  <si>
    <t>Machinery insurance, taxes, housing, licenses</t>
  </si>
  <si>
    <t>Price*</t>
  </si>
  <si>
    <t>General Instructions:</t>
  </si>
  <si>
    <t>A color coding system is used to indicate the source of the data for each budget and to show which data can be adjusted. Orange cells can be changed without affecting the underlying equations in this cost calculator. Data in yellow cells are from the Summary sheet (click on yellow Summary tab or select it from the TabSelect drop-down menu). In the Summary sheet both crop price and yield are in orange cells. Adjusting any of those numbers will automatically update all calculations throughout the spreadsheet. You can quickly compare price and yield changes by crop and rotation on net returns and land costs. You can also see rotational impacts. For example, if you know that a crop will have a higher yield in a particular sequence, adjust the crop yield in the upper table and see the rotational impact in the second table. You can save the file with this data, then create another scenario and save it as a different file. The graphical tab will illustrate the results of these changes automatically.</t>
  </si>
  <si>
    <t>By entering input prices on the Input Prices sheet (click on the green Input Prices tab), all of the cost calculations will be automatically updated. Input cost changes can also be made on individual crop price sheets, over-riding the input cost formulae on that particular crop budget. Fertilizer prices are based on current (Apr 09) quotes, but they are subject to uncertainty. Chemical input prices are based on February, 2009, quotes from chemical and seed dealers. These prices are subject to change, however, and will affect profitability of different crops.</t>
  </si>
  <si>
    <t xml:space="preserve">Crop prices can be adjusted on the Summary tab and the effects of this change will be reflected throughout all the budgets. (Yields can be adjusted similarly.) Grain prices are based on futures prices for August 2009, as of July 2009, FOB Lind, Washington. (Source: Union Elevator, http://www.unionelevator.com). </t>
  </si>
  <si>
    <t>The machinery complement and associated hourly machinery cost data are in the last two sheets. The hourly machinery cost data are used to create the individualized machinery cost data for each budget, located in a separate tab for each crop. In the crop budget sheets, entries in blue cells are calculated by the machinery cost program and come from the associated Machinery Cost sheet for that crop. Machinery fixed costs include capital recovery costs, property taxes, insurance, and housing. For the overall farm operation, these costs do not vary by crop, given the ownership of a specific machinery complement, and are incurred whether or not crops are grown. Your per acre fixed costs will change if the farm size differs significantly from the size used in these budgets.</t>
  </si>
  <si>
    <t>Land costs, included either as real or as opportunity costs, are based on a typical share rental arrangement. We calculate net land rental cost as a cost share as follows:</t>
  </si>
  <si>
    <r>
      <t xml:space="preserve">A typical lease agreement in the areas surveyed is a one-third land owner and two-third tenant crop share, with the land owner paying land taxes, one-third of the fertilizer cost, one-third of the chemical cost, and one-third of the crop insurance. The tenant covers all other production expenses. </t>
    </r>
    <r>
      <rPr>
        <b/>
        <sz val="12"/>
        <rFont val="Times New Roman"/>
        <family val="1"/>
      </rPr>
      <t>This crop-share percentage can be adjusted in the crop worksheets</t>
    </r>
    <r>
      <rPr>
        <sz val="12"/>
        <rFont val="Times New Roman"/>
        <family val="1"/>
      </rPr>
      <t>. If the percentage is adjusted on the Summary tab, it is changed for all crops. If you want different crop-share percentages for different crops, adjust the percentage on the budget sheet for that crop. This valuable tool reveals how factors such as crop and input price increases as well as cropping choices affect revenue for landlords and operators differently.</t>
    </r>
  </si>
  <si>
    <t>While the owner-operator will not actually experience a land rental cost, this cost represents the minimum return owner-operators must realize to justify growing the crop themselves.  To determine the profitability of crop production relative to other activities, the owner-operator may want to consider these forgone rental returns along with the usual production expenses.</t>
  </si>
  <si>
    <t>General Assumptions:</t>
  </si>
  <si>
    <t>Please examine closely the assumptions we have used and make adjustments to reflect your particular operation. Adjustments in the variable costs can easily be made without affecting the overall accuracy of the budget information. Machinery costs are more difficult to adjust, due to the underlying complexity of machinery cost calculations. A separate machinery cost calculator program is used to develop the costs used in these budgets, which are based on specific machinery widths, tractor horsepower, type of operation, etc. The machinery cost program and data sets specific to this budget are available upon request.</t>
  </si>
  <si>
    <t>I wish to thank everyone who helped gather all of the information needed to create these worksheets. First and foremost, I thank the farmers who were willing to take the time to share their enterprise information in order to create this worksheet. Without their assistance we would not be able to provide this critical information to others. However, I take responsibility for any errors in these budgets.</t>
  </si>
  <si>
    <t>http://www.uidaho.edu/~kpainter/</t>
  </si>
  <si>
    <t>Photo: Terry Day</t>
  </si>
  <si>
    <t>Dryland Grain Producing Region of the NW Wheat &amp; Range Region</t>
  </si>
  <si>
    <t>Kathleen Painter, PhD</t>
  </si>
  <si>
    <t>Analyst, Agricultural Economics &amp; Rural Sociology</t>
  </si>
  <si>
    <t>Adjunct, School of Economic Sciences, Wash. State Univ.</t>
  </si>
  <si>
    <t>University of Idaho</t>
  </si>
  <si>
    <t>PO Box 442334</t>
  </si>
  <si>
    <t>Moscow ID 83844-2334</t>
  </si>
  <si>
    <t>(208) 885-6041</t>
  </si>
  <si>
    <t>kpainter@uidaho.edu</t>
  </si>
  <si>
    <t>http://www.uidaho.edu/~kpainter</t>
  </si>
  <si>
    <t>2009 Crop Rotation Budgets for Less Than 15" Precipitation Zone</t>
  </si>
  <si>
    <t>Under Conventional and Reduced Tillage</t>
  </si>
  <si>
    <t>Note: Farm size is assumed to be 5000 acres for the purpose of machinery cost calculations.</t>
  </si>
  <si>
    <t>10 oz 2,4-D</t>
  </si>
  <si>
    <t xml:space="preserve"> 10 oz 2,4-D, 2/3 oz Maverick*</t>
  </si>
  <si>
    <t>22 oz Roundup, 3.2 oz Excel 90, 50 oz Ultra Pro</t>
  </si>
</sst>
</file>

<file path=xl/styles.xml><?xml version="1.0" encoding="utf-8"?>
<styleSheet xmlns="http://schemas.openxmlformats.org/spreadsheetml/2006/main">
  <numFmts count="5">
    <numFmt numFmtId="42" formatCode="_(&quot;$&quot;* #,##0_);_(&quot;$&quot;* \(#,##0\);_(&quot;$&quot;* &quot;-&quot;_);_(@_)"/>
    <numFmt numFmtId="44" formatCode="_(&quot;$&quot;* #,##0.00_);_(&quot;$&quot;* \(#,##0.00\);_(&quot;$&quot;* &quot;-&quot;??_);_(@_)"/>
    <numFmt numFmtId="164" formatCode="&quot;$&quot;#,##0.00"/>
    <numFmt numFmtId="165" formatCode="0.0"/>
    <numFmt numFmtId="166" formatCode="&quot;$&quot;#,##0"/>
  </numFmts>
  <fonts count="34">
    <font>
      <sz val="10"/>
      <name val="Arial"/>
    </font>
    <font>
      <sz val="10"/>
      <name val="Arial"/>
    </font>
    <font>
      <sz val="12"/>
      <name val="Arial"/>
      <family val="2"/>
    </font>
    <font>
      <b/>
      <u/>
      <sz val="10"/>
      <name val="Arial"/>
      <family val="2"/>
    </font>
    <font>
      <u/>
      <sz val="10"/>
      <name val="Arial"/>
      <family val="2"/>
    </font>
    <font>
      <sz val="8"/>
      <name val="Arial"/>
      <family val="2"/>
    </font>
    <font>
      <sz val="10"/>
      <color indexed="27"/>
      <name val="Arial"/>
      <family val="2"/>
    </font>
    <font>
      <b/>
      <sz val="10"/>
      <name val="Arial"/>
      <family val="2"/>
    </font>
    <font>
      <sz val="12"/>
      <name val="Times New Roman"/>
      <family val="1"/>
    </font>
    <font>
      <u/>
      <sz val="10"/>
      <color indexed="12"/>
      <name val="Arial"/>
      <family val="2"/>
    </font>
    <font>
      <sz val="9"/>
      <name val="Arial"/>
      <family val="2"/>
    </font>
    <font>
      <sz val="10"/>
      <name val="Arial"/>
      <family val="2"/>
    </font>
    <font>
      <b/>
      <sz val="10"/>
      <name val="Arial"/>
      <family val="2"/>
    </font>
    <font>
      <b/>
      <i/>
      <sz val="10"/>
      <name val="Arial"/>
      <family val="2"/>
    </font>
    <font>
      <i/>
      <sz val="10"/>
      <name val="Arial"/>
      <family val="2"/>
    </font>
    <font>
      <b/>
      <sz val="12"/>
      <name val="Arial"/>
      <family val="2"/>
    </font>
    <font>
      <sz val="8"/>
      <color indexed="81"/>
      <name val="Tahoma"/>
      <family val="2"/>
    </font>
    <font>
      <b/>
      <sz val="12"/>
      <name val="Times New Roman"/>
      <family val="1"/>
    </font>
    <font>
      <b/>
      <sz val="10"/>
      <name val="Arial"/>
      <family val="2"/>
    </font>
    <font>
      <i/>
      <sz val="10"/>
      <name val="Arial"/>
      <family val="2"/>
    </font>
    <font>
      <b/>
      <u/>
      <sz val="10"/>
      <name val="Arial"/>
      <family val="2"/>
    </font>
    <font>
      <sz val="10"/>
      <name val="Arial"/>
      <family val="2"/>
    </font>
    <font>
      <sz val="10"/>
      <color indexed="8"/>
      <name val="Arial"/>
      <family val="2"/>
    </font>
    <font>
      <sz val="12"/>
      <name val="Arial"/>
      <family val="2"/>
    </font>
    <font>
      <sz val="10"/>
      <color indexed="10"/>
      <name val="Arial"/>
      <family val="2"/>
    </font>
    <font>
      <b/>
      <i/>
      <sz val="10"/>
      <color indexed="10"/>
      <name val="Arial"/>
      <family val="2"/>
    </font>
    <font>
      <b/>
      <sz val="14"/>
      <color indexed="8"/>
      <name val="Times New Roman"/>
      <family val="1"/>
    </font>
    <font>
      <b/>
      <i/>
      <sz val="10"/>
      <name val="Arial"/>
      <family val="2"/>
    </font>
    <font>
      <b/>
      <i/>
      <sz val="9"/>
      <name val="Arial"/>
      <family val="2"/>
    </font>
    <font>
      <b/>
      <sz val="12"/>
      <color indexed="10"/>
      <name val="Arial"/>
      <family val="2"/>
    </font>
    <font>
      <vertAlign val="superscript"/>
      <sz val="10"/>
      <name val="Arial"/>
      <family val="2"/>
    </font>
    <font>
      <u/>
      <sz val="11"/>
      <color indexed="12"/>
      <name val="Arial"/>
      <family val="2"/>
    </font>
    <font>
      <i/>
      <sz val="10"/>
      <name val="Arial"/>
      <family val="2"/>
    </font>
    <font>
      <b/>
      <i/>
      <sz val="11"/>
      <name val="Arial"/>
      <family val="2"/>
    </font>
  </fonts>
  <fills count="1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22"/>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530">
    <xf numFmtId="0" fontId="0" fillId="0" borderId="0" xfId="0"/>
    <xf numFmtId="0" fontId="0" fillId="0" borderId="1" xfId="0" applyBorder="1"/>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center" vertical="center"/>
    </xf>
    <xf numFmtId="0" fontId="2" fillId="3" borderId="0" xfId="0" applyFont="1" applyFill="1" applyAlignment="1">
      <alignment horizontal="center"/>
    </xf>
    <xf numFmtId="0" fontId="2" fillId="2" borderId="0" xfId="0" applyFont="1" applyFill="1" applyBorder="1" applyAlignment="1">
      <alignment horizontal="center"/>
    </xf>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 vertical="center"/>
    </xf>
    <xf numFmtId="0" fontId="0" fillId="3" borderId="1" xfId="0" applyFill="1" applyBorder="1"/>
    <xf numFmtId="0" fontId="3" fillId="2" borderId="0" xfId="0" applyFont="1" applyFill="1" applyBorder="1"/>
    <xf numFmtId="0" fontId="0" fillId="2" borderId="0" xfId="0" applyFill="1"/>
    <xf numFmtId="0" fontId="0" fillId="2" borderId="0" xfId="0" applyFill="1" applyAlignment="1">
      <alignment horizontal="center" vertical="center"/>
    </xf>
    <xf numFmtId="0" fontId="0" fillId="3" borderId="0" xfId="0" applyFill="1"/>
    <xf numFmtId="0" fontId="0" fillId="0" borderId="0" xfId="0" applyBorder="1" applyProtection="1">
      <protection locked="0"/>
    </xf>
    <xf numFmtId="0" fontId="0" fillId="2" borderId="0" xfId="0" applyFill="1" applyBorder="1"/>
    <xf numFmtId="0" fontId="0" fillId="0" borderId="0" xfId="0" applyBorder="1" applyAlignment="1" applyProtection="1">
      <alignment horizontal="center" vertical="center"/>
      <protection locked="0"/>
    </xf>
    <xf numFmtId="164" fontId="0" fillId="3" borderId="0" xfId="0" applyNumberFormat="1" applyFill="1" applyBorder="1" applyProtection="1"/>
    <xf numFmtId="0" fontId="0" fillId="0" borderId="0" xfId="0" applyBorder="1"/>
    <xf numFmtId="0" fontId="0" fillId="2" borderId="0" xfId="0" applyFill="1" applyBorder="1" applyAlignment="1">
      <alignment horizontal="center" vertical="center"/>
    </xf>
    <xf numFmtId="164" fontId="0" fillId="3" borderId="0" xfId="0" applyNumberFormat="1" applyFill="1" applyProtection="1"/>
    <xf numFmtId="164" fontId="0" fillId="3" borderId="0" xfId="0" applyNumberFormat="1" applyFill="1" applyAlignment="1" applyProtection="1">
      <alignment horizontal="left"/>
    </xf>
    <xf numFmtId="0" fontId="0" fillId="0" borderId="0" xfId="0" applyProtection="1">
      <protection locked="0"/>
    </xf>
    <xf numFmtId="0" fontId="0" fillId="0" borderId="0" xfId="0" applyAlignment="1" applyProtection="1">
      <alignment horizontal="center" vertical="center"/>
      <protection locked="0"/>
    </xf>
    <xf numFmtId="164" fontId="0" fillId="3" borderId="0" xfId="0" applyNumberFormat="1" applyFill="1"/>
    <xf numFmtId="164" fontId="0" fillId="3" borderId="0" xfId="0" applyNumberFormat="1" applyFill="1" applyAlignment="1">
      <alignment horizontal="left"/>
    </xf>
    <xf numFmtId="0" fontId="0" fillId="0" borderId="0" xfId="0" applyAlignment="1">
      <alignment horizontal="center" vertical="center"/>
    </xf>
    <xf numFmtId="0" fontId="3" fillId="2" borderId="0" xfId="0" applyFont="1" applyFill="1"/>
    <xf numFmtId="49" fontId="0" fillId="2" borderId="0" xfId="0" applyNumberFormat="1" applyFill="1" applyAlignment="1">
      <alignment horizontal="center"/>
    </xf>
    <xf numFmtId="9" fontId="0" fillId="0" borderId="0" xfId="0" applyNumberFormat="1" applyAlignment="1" applyProtection="1">
      <alignment horizontal="center"/>
      <protection locked="0"/>
    </xf>
    <xf numFmtId="49" fontId="0" fillId="2" borderId="1" xfId="0" applyNumberFormat="1" applyFill="1" applyBorder="1" applyAlignment="1">
      <alignment horizontal="center"/>
    </xf>
    <xf numFmtId="0" fontId="4" fillId="2" borderId="0" xfId="0" applyFont="1" applyFill="1" applyAlignment="1">
      <alignment horizontal="center"/>
    </xf>
    <xf numFmtId="49" fontId="0" fillId="2" borderId="2" xfId="0" applyNumberFormat="1" applyFill="1" applyBorder="1" applyAlignment="1">
      <alignment horizontal="center"/>
    </xf>
    <xf numFmtId="0" fontId="0" fillId="2" borderId="2" xfId="0" applyFill="1" applyBorder="1"/>
    <xf numFmtId="0" fontId="0" fillId="2" borderId="2" xfId="0" applyFill="1" applyBorder="1" applyAlignment="1">
      <alignment horizontal="center" vertical="center"/>
    </xf>
    <xf numFmtId="164" fontId="0" fillId="2" borderId="0" xfId="0" applyNumberFormat="1" applyFill="1" applyAlignment="1">
      <alignment horizontal="center" vertical="center"/>
    </xf>
    <xf numFmtId="164" fontId="0" fillId="2" borderId="2" xfId="0" applyNumberFormat="1" applyFill="1" applyBorder="1" applyAlignment="1">
      <alignment horizontal="center"/>
    </xf>
    <xf numFmtId="164" fontId="0" fillId="2" borderId="2" xfId="0" applyNumberFormat="1" applyFill="1" applyBorder="1" applyAlignment="1">
      <alignment horizontal="center" vertical="center"/>
    </xf>
    <xf numFmtId="165" fontId="0" fillId="2" borderId="0" xfId="0" applyNumberFormat="1" applyFill="1" applyAlignment="1">
      <alignment horizontal="center" vertical="center"/>
    </xf>
    <xf numFmtId="0" fontId="0" fillId="0" borderId="0" xfId="0" applyFill="1"/>
    <xf numFmtId="0" fontId="0" fillId="4" borderId="1" xfId="0" applyFill="1" applyBorder="1"/>
    <xf numFmtId="0" fontId="0" fillId="4" borderId="0" xfId="0" applyFill="1"/>
    <xf numFmtId="0" fontId="0" fillId="5" borderId="3" xfId="0" applyFill="1" applyBorder="1"/>
    <xf numFmtId="0" fontId="0" fillId="5" borderId="1" xfId="0" applyFill="1" applyBorder="1"/>
    <xf numFmtId="0" fontId="0" fillId="0" borderId="0" xfId="0" applyAlignment="1"/>
    <xf numFmtId="0" fontId="0" fillId="3" borderId="3" xfId="0" applyFill="1" applyBorder="1"/>
    <xf numFmtId="0" fontId="0" fillId="2" borderId="3" xfId="0" applyFill="1" applyBorder="1"/>
    <xf numFmtId="0" fontId="0" fillId="6" borderId="0" xfId="0" applyFill="1"/>
    <xf numFmtId="0" fontId="0" fillId="6" borderId="0" xfId="0" applyFill="1" applyAlignment="1">
      <alignment horizontal="center" vertical="center"/>
    </xf>
    <xf numFmtId="164" fontId="0" fillId="6" borderId="0" xfId="0" applyNumberFormat="1" applyFill="1"/>
    <xf numFmtId="0" fontId="6" fillId="2" borderId="0" xfId="0" applyFont="1" applyFill="1" applyAlignment="1"/>
    <xf numFmtId="0" fontId="0" fillId="0" borderId="0" xfId="0" applyAlignment="1" applyProtection="1">
      <protection locked="0"/>
    </xf>
    <xf numFmtId="0" fontId="0" fillId="2" borderId="0" xfId="0" applyFill="1" applyAlignment="1">
      <alignment horizontal="center"/>
    </xf>
    <xf numFmtId="0" fontId="0" fillId="5" borderId="3" xfId="0" applyFill="1" applyBorder="1" applyAlignment="1">
      <alignment wrapText="1"/>
    </xf>
    <xf numFmtId="0" fontId="7" fillId="6" borderId="0" xfId="0" applyFont="1" applyFill="1"/>
    <xf numFmtId="0" fontId="7" fillId="0" borderId="0" xfId="0" applyFont="1"/>
    <xf numFmtId="0" fontId="11" fillId="6" borderId="0" xfId="0" applyFont="1" applyFill="1"/>
    <xf numFmtId="0" fontId="11" fillId="0" borderId="0" xfId="0" applyFont="1"/>
    <xf numFmtId="0" fontId="1" fillId="0" borderId="0" xfId="0" applyFont="1"/>
    <xf numFmtId="0" fontId="11" fillId="0" borderId="0" xfId="0" applyFont="1" applyProtection="1">
      <protection locked="0"/>
    </xf>
    <xf numFmtId="0" fontId="7" fillId="2" borderId="1" xfId="0" applyFont="1" applyFill="1" applyBorder="1"/>
    <xf numFmtId="0" fontId="7" fillId="2" borderId="1" xfId="0" applyFont="1" applyFill="1" applyBorder="1" applyAlignment="1">
      <alignment horizontal="center" vertical="center"/>
    </xf>
    <xf numFmtId="164" fontId="7" fillId="3" borderId="1" xfId="0" applyNumberFormat="1" applyFont="1" applyFill="1" applyBorder="1"/>
    <xf numFmtId="0" fontId="1" fillId="0" borderId="0" xfId="0" applyFont="1" applyProtection="1">
      <protection locked="0"/>
    </xf>
    <xf numFmtId="0" fontId="7" fillId="2" borderId="0" xfId="0" applyFont="1" applyFill="1"/>
    <xf numFmtId="0" fontId="7" fillId="2" borderId="0" xfId="0" applyFont="1" applyFill="1" applyAlignment="1">
      <alignment horizontal="center" vertical="center"/>
    </xf>
    <xf numFmtId="164" fontId="7" fillId="3" borderId="0" xfId="0" applyNumberFormat="1" applyFont="1" applyFill="1"/>
    <xf numFmtId="164" fontId="7" fillId="6" borderId="0" xfId="0" applyNumberFormat="1" applyFont="1" applyFill="1"/>
    <xf numFmtId="0" fontId="1" fillId="6" borderId="0" xfId="0" applyFont="1" applyFill="1"/>
    <xf numFmtId="0" fontId="1" fillId="6" borderId="0" xfId="0" applyFont="1" applyFill="1" applyAlignment="1">
      <alignment horizontal="center" vertical="center"/>
    </xf>
    <xf numFmtId="0" fontId="0" fillId="6" borderId="0" xfId="0" applyFill="1" applyAlignment="1">
      <alignment horizontal="center"/>
    </xf>
    <xf numFmtId="0" fontId="0" fillId="0" borderId="0" xfId="0" applyAlignment="1" applyProtection="1">
      <alignment horizontal="center"/>
      <protection locked="0"/>
    </xf>
    <xf numFmtId="0" fontId="0" fillId="2" borderId="0" xfId="0" applyFill="1" applyAlignment="1" applyProtection="1">
      <alignment horizontal="center"/>
      <protection locked="0"/>
    </xf>
    <xf numFmtId="0" fontId="7" fillId="2" borderId="1" xfId="0" applyFont="1" applyFill="1" applyBorder="1" applyAlignment="1">
      <alignment horizontal="center"/>
    </xf>
    <xf numFmtId="0" fontId="6" fillId="2" borderId="0" xfId="0" applyFont="1" applyFill="1" applyAlignment="1">
      <alignment horizontal="center"/>
    </xf>
    <xf numFmtId="0" fontId="0" fillId="0" borderId="0" xfId="0" applyAlignment="1">
      <alignment horizontal="center"/>
    </xf>
    <xf numFmtId="0" fontId="7" fillId="2" borderId="0" xfId="0" applyFont="1" applyFill="1" applyAlignment="1">
      <alignment horizontal="center"/>
    </xf>
    <xf numFmtId="164" fontId="0" fillId="2" borderId="0" xfId="0" applyNumberFormat="1" applyFill="1" applyAlignment="1">
      <alignment horizontal="center"/>
    </xf>
    <xf numFmtId="164" fontId="0" fillId="0" borderId="0" xfId="0" applyNumberFormat="1" applyAlignment="1" applyProtection="1">
      <alignment horizontal="center"/>
      <protection locked="0"/>
    </xf>
    <xf numFmtId="0" fontId="0" fillId="2" borderId="0" xfId="0" applyFill="1" applyBorder="1" applyAlignment="1">
      <alignment horizontal="center"/>
    </xf>
    <xf numFmtId="0" fontId="1" fillId="6" borderId="0" xfId="0" applyFont="1" applyFill="1" applyAlignment="1">
      <alignment horizontal="center"/>
    </xf>
    <xf numFmtId="164" fontId="0" fillId="2" borderId="0" xfId="0" applyNumberFormat="1" applyFill="1" applyBorder="1" applyAlignment="1">
      <alignment horizontal="center"/>
    </xf>
    <xf numFmtId="0" fontId="0" fillId="2" borderId="2" xfId="0" applyFill="1" applyBorder="1" applyAlignment="1">
      <alignment horizontal="center"/>
    </xf>
    <xf numFmtId="0" fontId="0" fillId="5" borderId="1" xfId="0" applyFill="1" applyBorder="1" applyAlignment="1">
      <alignment wrapText="1"/>
    </xf>
    <xf numFmtId="0" fontId="7" fillId="5" borderId="0" xfId="0" applyFont="1" applyFill="1" applyAlignment="1" applyProtection="1">
      <alignment horizontal="center"/>
      <protection locked="0"/>
    </xf>
    <xf numFmtId="0" fontId="0" fillId="6" borderId="0" xfId="0" applyFill="1" applyAlignment="1"/>
    <xf numFmtId="0" fontId="0" fillId="0" borderId="0" xfId="0" applyAlignment="1" applyProtection="1">
      <alignment horizontal="left"/>
      <protection locked="0"/>
    </xf>
    <xf numFmtId="0" fontId="0" fillId="5" borderId="0" xfId="0" applyFill="1"/>
    <xf numFmtId="1" fontId="0" fillId="2" borderId="0" xfId="0" applyNumberFormat="1" applyFill="1" applyAlignment="1">
      <alignment horizontal="center"/>
    </xf>
    <xf numFmtId="44" fontId="0" fillId="2" borderId="0" xfId="0" applyNumberFormat="1" applyFill="1"/>
    <xf numFmtId="0" fontId="19" fillId="2" borderId="0" xfId="0" applyFont="1" applyFill="1" applyAlignment="1"/>
    <xf numFmtId="0" fontId="18" fillId="2" borderId="0" xfId="0" applyFont="1" applyFill="1"/>
    <xf numFmtId="0" fontId="18" fillId="2" borderId="0" xfId="0" applyFont="1" applyFill="1" applyAlignment="1">
      <alignment horizontal="center"/>
    </xf>
    <xf numFmtId="166" fontId="7" fillId="2" borderId="0" xfId="0" applyNumberFormat="1" applyFont="1" applyFill="1" applyAlignment="1">
      <alignment horizontal="center"/>
    </xf>
    <xf numFmtId="1" fontId="18" fillId="2" borderId="0" xfId="0" applyNumberFormat="1" applyFont="1" applyFill="1" applyAlignment="1">
      <alignment horizontal="center"/>
    </xf>
    <xf numFmtId="44" fontId="18" fillId="2" borderId="0" xfId="0" applyNumberFormat="1" applyFont="1" applyFill="1" applyAlignment="1">
      <alignment horizontal="center"/>
    </xf>
    <xf numFmtId="166" fontId="0" fillId="5" borderId="0" xfId="0" applyNumberFormat="1" applyFill="1" applyAlignment="1">
      <alignment horizontal="center"/>
    </xf>
    <xf numFmtId="0" fontId="0" fillId="6" borderId="4" xfId="0" applyFill="1" applyBorder="1" applyAlignment="1">
      <alignment horizontal="center"/>
    </xf>
    <xf numFmtId="0" fontId="0" fillId="6" borderId="0" xfId="0" applyFill="1" applyBorder="1"/>
    <xf numFmtId="16" fontId="0" fillId="2" borderId="0" xfId="0" applyNumberFormat="1" applyFill="1" applyAlignment="1">
      <alignment horizontal="center"/>
    </xf>
    <xf numFmtId="2" fontId="0" fillId="6" borderId="0" xfId="0" applyNumberFormat="1" applyFill="1"/>
    <xf numFmtId="1" fontId="0" fillId="6" borderId="0" xfId="0" applyNumberFormat="1" applyFill="1"/>
    <xf numFmtId="164" fontId="0" fillId="3" borderId="1" xfId="0" applyNumberFormat="1" applyFill="1" applyBorder="1"/>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164" fontId="1" fillId="3" borderId="0" xfId="0" applyNumberFormat="1" applyFont="1" applyFill="1"/>
    <xf numFmtId="0" fontId="0" fillId="6" borderId="0" xfId="0" applyFill="1" applyBorder="1" applyAlignment="1">
      <alignment horizontal="center"/>
    </xf>
    <xf numFmtId="0" fontId="0" fillId="6" borderId="0" xfId="0" applyFill="1" applyBorder="1" applyAlignment="1">
      <alignment horizontal="center" vertical="center"/>
    </xf>
    <xf numFmtId="0" fontId="0" fillId="0" borderId="0" xfId="0" applyFill="1" applyAlignment="1">
      <alignment horizontal="center"/>
    </xf>
    <xf numFmtId="0" fontId="0" fillId="0" borderId="0" xfId="0" applyFill="1" applyProtection="1">
      <protection locked="0"/>
    </xf>
    <xf numFmtId="0" fontId="7" fillId="7" borderId="0" xfId="0" applyFont="1" applyFill="1" applyBorder="1" applyAlignment="1">
      <alignment horizontal="left"/>
    </xf>
    <xf numFmtId="2" fontId="0" fillId="7" borderId="0" xfId="0" applyNumberFormat="1" applyFill="1"/>
    <xf numFmtId="0" fontId="0" fillId="7" borderId="0" xfId="0" applyFill="1"/>
    <xf numFmtId="2" fontId="7" fillId="7" borderId="0" xfId="0" applyNumberFormat="1" applyFont="1" applyFill="1"/>
    <xf numFmtId="0" fontId="3" fillId="7" borderId="0" xfId="0" applyFont="1" applyFill="1" applyAlignment="1">
      <alignment horizontal="center"/>
    </xf>
    <xf numFmtId="0" fontId="0" fillId="7" borderId="0" xfId="0" applyFill="1" applyAlignment="1" applyProtection="1">
      <alignment horizontal="center"/>
      <protection locked="0"/>
    </xf>
    <xf numFmtId="166" fontId="0" fillId="7" borderId="0" xfId="0" applyNumberFormat="1" applyFill="1"/>
    <xf numFmtId="0" fontId="15" fillId="7" borderId="0" xfId="0" applyFont="1" applyFill="1"/>
    <xf numFmtId="0" fontId="23" fillId="7" borderId="0" xfId="0" applyFont="1" applyFill="1"/>
    <xf numFmtId="0" fontId="0" fillId="7" borderId="0" xfId="0" applyFill="1" applyAlignment="1">
      <alignment horizontal="center"/>
    </xf>
    <xf numFmtId="164" fontId="0" fillId="7" borderId="0" xfId="0" applyNumberFormat="1" applyFill="1" applyAlignment="1"/>
    <xf numFmtId="0" fontId="7" fillId="7" borderId="0" xfId="0" applyFont="1" applyFill="1"/>
    <xf numFmtId="0" fontId="7" fillId="7" borderId="0" xfId="0" applyFont="1" applyFill="1" applyProtection="1">
      <protection locked="0"/>
    </xf>
    <xf numFmtId="1" fontId="0" fillId="7" borderId="0" xfId="0" applyNumberFormat="1" applyFill="1" applyAlignment="1">
      <alignment horizontal="center"/>
    </xf>
    <xf numFmtId="166" fontId="7" fillId="7" borderId="0" xfId="0" applyNumberFormat="1" applyFont="1" applyFill="1"/>
    <xf numFmtId="0" fontId="18" fillId="2" borderId="0" xfId="0" applyFont="1" applyFill="1" applyBorder="1" applyAlignment="1">
      <alignment horizontal="center"/>
    </xf>
    <xf numFmtId="0" fontId="21" fillId="6" borderId="0" xfId="0" applyFont="1" applyFill="1"/>
    <xf numFmtId="0" fontId="23" fillId="6" borderId="0" xfId="0" applyFont="1" applyFill="1"/>
    <xf numFmtId="0" fontId="15" fillId="6" borderId="0" xfId="0" applyFont="1" applyFill="1"/>
    <xf numFmtId="0" fontId="15" fillId="0" borderId="0" xfId="0" applyFont="1"/>
    <xf numFmtId="0" fontId="23" fillId="0" borderId="0" xfId="0" applyFont="1"/>
    <xf numFmtId="0" fontId="0" fillId="7" borderId="0" xfId="0" applyFill="1" applyAlignment="1" applyProtection="1">
      <alignment horizontal="left"/>
      <protection locked="0"/>
    </xf>
    <xf numFmtId="164" fontId="18" fillId="7" borderId="0" xfId="0" applyNumberFormat="1" applyFont="1" applyFill="1" applyAlignment="1">
      <alignment horizontal="left"/>
    </xf>
    <xf numFmtId="0" fontId="26" fillId="6" borderId="0" xfId="0" applyFont="1" applyFill="1" applyAlignment="1">
      <alignment horizontal="center"/>
    </xf>
    <xf numFmtId="0" fontId="23" fillId="6" borderId="0" xfId="0" applyFont="1" applyFill="1" applyBorder="1"/>
    <xf numFmtId="2" fontId="1" fillId="6" borderId="0" xfId="0" applyNumberFormat="1" applyFont="1" applyFill="1"/>
    <xf numFmtId="2" fontId="1" fillId="0" borderId="0" xfId="0" applyNumberFormat="1" applyFont="1"/>
    <xf numFmtId="0" fontId="13" fillId="5" borderId="5" xfId="0" applyFont="1" applyFill="1" applyBorder="1"/>
    <xf numFmtId="0" fontId="0" fillId="5" borderId="5" xfId="0" applyFill="1" applyBorder="1" applyAlignment="1">
      <alignment wrapText="1"/>
    </xf>
    <xf numFmtId="0" fontId="0" fillId="5" borderId="5" xfId="0" applyFill="1" applyBorder="1"/>
    <xf numFmtId="0" fontId="0" fillId="5" borderId="5" xfId="0" applyFill="1" applyBorder="1" applyAlignment="1">
      <alignment horizontal="center" wrapText="1"/>
    </xf>
    <xf numFmtId="0" fontId="13" fillId="5" borderId="5" xfId="0" applyFont="1" applyFill="1" applyBorder="1" applyAlignment="1">
      <alignment wrapText="1"/>
    </xf>
    <xf numFmtId="164" fontId="0" fillId="5" borderId="5" xfId="0" applyNumberFormat="1" applyFill="1" applyBorder="1" applyAlignment="1">
      <alignment horizontal="center"/>
    </xf>
    <xf numFmtId="164" fontId="0" fillId="5" borderId="5" xfId="0" applyNumberFormat="1" applyFill="1" applyBorder="1" applyAlignment="1">
      <alignment wrapText="1"/>
    </xf>
    <xf numFmtId="0" fontId="14" fillId="6" borderId="0" xfId="0" applyFont="1" applyFill="1"/>
    <xf numFmtId="2" fontId="7" fillId="3" borderId="5" xfId="0" applyNumberFormat="1" applyFont="1" applyFill="1" applyBorder="1" applyAlignment="1">
      <alignment horizontal="center"/>
    </xf>
    <xf numFmtId="2" fontId="7" fillId="0" borderId="0" xfId="0" applyNumberFormat="1" applyFont="1" applyFill="1" applyBorder="1" applyAlignment="1">
      <alignment horizontal="center"/>
    </xf>
    <xf numFmtId="164" fontId="7" fillId="3" borderId="5" xfId="0" applyNumberFormat="1" applyFont="1" applyFill="1" applyBorder="1" applyAlignment="1">
      <alignment horizontal="center"/>
    </xf>
    <xf numFmtId="164" fontId="0" fillId="6" borderId="0" xfId="0" applyNumberFormat="1" applyFill="1" applyAlignment="1"/>
    <xf numFmtId="164" fontId="0" fillId="0" borderId="0" xfId="0" applyNumberFormat="1" applyAlignment="1" applyProtection="1">
      <alignment horizontal="center"/>
    </xf>
    <xf numFmtId="0" fontId="0" fillId="2" borderId="0" xfId="0" applyFill="1" applyProtection="1">
      <protection locked="0"/>
    </xf>
    <xf numFmtId="0" fontId="11" fillId="4" borderId="0" xfId="0" applyFont="1" applyFill="1"/>
    <xf numFmtId="0" fontId="11" fillId="2" borderId="0" xfId="0" applyFont="1" applyFill="1"/>
    <xf numFmtId="0" fontId="11" fillId="2" borderId="0" xfId="0" applyFont="1" applyFill="1" applyAlignment="1">
      <alignment horizontal="center"/>
    </xf>
    <xf numFmtId="0" fontId="11" fillId="2" borderId="0" xfId="0" applyFont="1" applyFill="1" applyAlignment="1">
      <alignment horizontal="center" vertical="center"/>
    </xf>
    <xf numFmtId="0" fontId="11" fillId="3" borderId="0" xfId="0" applyFont="1" applyFill="1" applyAlignment="1">
      <alignment horizontal="center"/>
    </xf>
    <xf numFmtId="0" fontId="11" fillId="2" borderId="0" xfId="0" applyFont="1" applyFill="1" applyBorder="1" applyAlignment="1">
      <alignment horizontal="center"/>
    </xf>
    <xf numFmtId="0" fontId="11" fillId="2" borderId="1" xfId="0" applyFont="1" applyFill="1" applyBorder="1" applyAlignment="1">
      <alignment horizontal="center"/>
    </xf>
    <xf numFmtId="0" fontId="11" fillId="2" borderId="1" xfId="0" applyFont="1" applyFill="1" applyBorder="1"/>
    <xf numFmtId="0" fontId="11" fillId="2" borderId="1" xfId="0" applyFont="1" applyFill="1" applyBorder="1" applyAlignment="1">
      <alignment horizontal="center" vertical="center"/>
    </xf>
    <xf numFmtId="0" fontId="11" fillId="3" borderId="1" xfId="0" applyFont="1" applyFill="1" applyBorder="1"/>
    <xf numFmtId="0" fontId="11" fillId="0" borderId="1" xfId="0" applyFont="1" applyBorder="1"/>
    <xf numFmtId="0" fontId="20" fillId="2" borderId="0" xfId="0" applyFont="1" applyFill="1" applyBorder="1"/>
    <xf numFmtId="0" fontId="21" fillId="2" borderId="0" xfId="0" applyFont="1" applyFill="1"/>
    <xf numFmtId="0" fontId="21" fillId="2" borderId="0" xfId="0" applyFont="1" applyFill="1" applyAlignment="1">
      <alignment horizontal="center"/>
    </xf>
    <xf numFmtId="0" fontId="21" fillId="2" borderId="0" xfId="0" applyFont="1" applyFill="1" applyAlignment="1">
      <alignment horizontal="center" vertical="center"/>
    </xf>
    <xf numFmtId="0" fontId="21" fillId="3" borderId="0" xfId="0" applyFont="1" applyFill="1"/>
    <xf numFmtId="0" fontId="21" fillId="0" borderId="0" xfId="0" applyFont="1"/>
    <xf numFmtId="0" fontId="21" fillId="0" borderId="0" xfId="0" applyFont="1" applyBorder="1" applyProtection="1">
      <protection locked="0"/>
    </xf>
    <xf numFmtId="0" fontId="21" fillId="2" borderId="0" xfId="0" applyFont="1" applyFill="1" applyBorder="1"/>
    <xf numFmtId="0" fontId="21" fillId="0" borderId="0" xfId="0" applyFont="1" applyBorder="1" applyAlignment="1" applyProtection="1">
      <alignment horizontal="center" vertical="center"/>
      <protection locked="0"/>
    </xf>
    <xf numFmtId="164" fontId="21" fillId="3" borderId="0" xfId="0" applyNumberFormat="1" applyFont="1" applyFill="1" applyBorder="1" applyProtection="1"/>
    <xf numFmtId="0" fontId="21" fillId="0" borderId="0" xfId="0" applyFont="1" applyBorder="1"/>
    <xf numFmtId="0" fontId="21" fillId="2" borderId="0" xfId="0" applyFont="1" applyFill="1" applyBorder="1" applyAlignment="1">
      <alignment horizontal="center"/>
    </xf>
    <xf numFmtId="0" fontId="21" fillId="2" borderId="0" xfId="0" applyFont="1" applyFill="1" applyBorder="1" applyAlignment="1">
      <alignment horizontal="center" vertical="center"/>
    </xf>
    <xf numFmtId="164" fontId="21" fillId="2" borderId="0" xfId="0" applyNumberFormat="1" applyFont="1" applyFill="1" applyBorder="1" applyAlignment="1">
      <alignment horizontal="center"/>
    </xf>
    <xf numFmtId="164" fontId="11" fillId="2" borderId="0" xfId="0" applyNumberFormat="1" applyFont="1" applyFill="1" applyAlignment="1">
      <alignment horizontal="center"/>
    </xf>
    <xf numFmtId="164" fontId="11" fillId="3" borderId="0" xfId="0" applyNumberFormat="1" applyFont="1" applyFill="1" applyProtection="1"/>
    <xf numFmtId="164" fontId="11" fillId="3" borderId="0" xfId="0" applyNumberFormat="1" applyFont="1" applyFill="1" applyAlignment="1" applyProtection="1">
      <alignment horizontal="left"/>
    </xf>
    <xf numFmtId="0" fontId="11" fillId="0" borderId="0" xfId="0" applyFont="1" applyAlignment="1" applyProtection="1">
      <alignment horizontal="center"/>
      <protection locked="0"/>
    </xf>
    <xf numFmtId="0" fontId="11" fillId="0" borderId="0" xfId="0" applyFont="1" applyAlignment="1" applyProtection="1">
      <alignment horizontal="center" vertical="center"/>
      <protection locked="0"/>
    </xf>
    <xf numFmtId="164" fontId="11" fillId="6" borderId="0" xfId="0" applyNumberFormat="1" applyFont="1" applyFill="1"/>
    <xf numFmtId="164" fontId="11" fillId="3" borderId="0" xfId="0" applyNumberFormat="1" applyFont="1" applyFill="1"/>
    <xf numFmtId="0" fontId="11" fillId="2" borderId="0" xfId="0" applyFont="1" applyFill="1" applyAlignment="1" applyProtection="1">
      <alignment horizontal="center"/>
      <protection locked="0"/>
    </xf>
    <xf numFmtId="0" fontId="12" fillId="6" borderId="0" xfId="0" applyFont="1" applyFill="1"/>
    <xf numFmtId="0" fontId="12" fillId="2" borderId="0" xfId="0" applyFont="1" applyFill="1"/>
    <xf numFmtId="0" fontId="12" fillId="2" borderId="0" xfId="0" applyFont="1" applyFill="1" applyAlignment="1">
      <alignment horizontal="center"/>
    </xf>
    <xf numFmtId="0" fontId="12" fillId="2" borderId="0" xfId="0" applyFont="1" applyFill="1" applyAlignment="1">
      <alignment horizontal="center" vertical="center"/>
    </xf>
    <xf numFmtId="164" fontId="12" fillId="3" borderId="0" xfId="0" applyNumberFormat="1" applyFont="1" applyFill="1"/>
    <xf numFmtId="0" fontId="12" fillId="0" borderId="0" xfId="0" applyFont="1"/>
    <xf numFmtId="164" fontId="12" fillId="6" borderId="0" xfId="0" applyNumberFormat="1" applyFont="1" applyFill="1"/>
    <xf numFmtId="164" fontId="21" fillId="3" borderId="0" xfId="0" applyNumberFormat="1" applyFont="1" applyFill="1"/>
    <xf numFmtId="0" fontId="21" fillId="0" borderId="0" xfId="0" applyFont="1" applyProtection="1">
      <protection locked="0"/>
    </xf>
    <xf numFmtId="0" fontId="21" fillId="0" borderId="0" xfId="0" applyFont="1" applyAlignment="1" applyProtection="1">
      <alignment horizontal="center"/>
      <protection locked="0"/>
    </xf>
    <xf numFmtId="0" fontId="21" fillId="0" borderId="0" xfId="0" applyFont="1" applyAlignment="1" applyProtection="1">
      <alignment horizontal="center" vertical="center"/>
      <protection locked="0"/>
    </xf>
    <xf numFmtId="164" fontId="21" fillId="2" borderId="0" xfId="0" applyNumberFormat="1" applyFont="1" applyFill="1" applyAlignment="1">
      <alignment horizontal="center"/>
    </xf>
    <xf numFmtId="0" fontId="21" fillId="6" borderId="0" xfId="0" applyFont="1" applyFill="1" applyAlignment="1">
      <alignment horizontal="center"/>
    </xf>
    <xf numFmtId="0" fontId="21" fillId="6" borderId="0" xfId="0" applyFont="1" applyFill="1" applyAlignment="1">
      <alignment horizontal="center" vertical="center"/>
    </xf>
    <xf numFmtId="164" fontId="21" fillId="6" borderId="0" xfId="0" applyNumberFormat="1" applyFont="1" applyFill="1"/>
    <xf numFmtId="0" fontId="12" fillId="6" borderId="0" xfId="0" applyFont="1" applyFill="1" applyAlignment="1">
      <alignment horizontal="center"/>
    </xf>
    <xf numFmtId="0" fontId="12" fillId="6" borderId="0" xfId="0" applyFont="1" applyFill="1" applyAlignment="1">
      <alignment horizontal="center" vertical="center"/>
    </xf>
    <xf numFmtId="49" fontId="11" fillId="2" borderId="0" xfId="0" applyNumberFormat="1" applyFont="1" applyFill="1" applyAlignment="1">
      <alignment horizontal="center"/>
    </xf>
    <xf numFmtId="9" fontId="11" fillId="0" borderId="0" xfId="0" applyNumberFormat="1" applyFont="1" applyAlignment="1" applyProtection="1">
      <alignment horizontal="center"/>
      <protection locked="0"/>
    </xf>
    <xf numFmtId="49" fontId="11" fillId="2" borderId="1" xfId="0" applyNumberFormat="1" applyFont="1" applyFill="1" applyBorder="1" applyAlignment="1">
      <alignment horizontal="center"/>
    </xf>
    <xf numFmtId="49" fontId="11" fillId="2" borderId="2" xfId="0" applyNumberFormat="1" applyFont="1" applyFill="1" applyBorder="1" applyAlignment="1">
      <alignment horizontal="center"/>
    </xf>
    <xf numFmtId="0" fontId="11" fillId="2" borderId="2" xfId="0" applyFont="1" applyFill="1" applyBorder="1"/>
    <xf numFmtId="0" fontId="11" fillId="2" borderId="2" xfId="0" applyFont="1" applyFill="1" applyBorder="1" applyAlignment="1">
      <alignment horizontal="center" vertical="center"/>
    </xf>
    <xf numFmtId="0" fontId="11" fillId="2" borderId="2" xfId="0" applyFont="1" applyFill="1" applyBorder="1" applyAlignment="1">
      <alignment horizontal="center"/>
    </xf>
    <xf numFmtId="164" fontId="11" fillId="2" borderId="0" xfId="0" applyNumberFormat="1" applyFont="1" applyFill="1" applyAlignment="1">
      <alignment horizontal="center" vertical="center"/>
    </xf>
    <xf numFmtId="0" fontId="11" fillId="2" borderId="0" xfId="0" applyFont="1" applyFill="1" applyBorder="1"/>
    <xf numFmtId="0" fontId="11" fillId="2" borderId="0" xfId="0" applyFont="1" applyFill="1" applyBorder="1" applyAlignment="1">
      <alignment horizontal="center" vertical="center"/>
    </xf>
    <xf numFmtId="164" fontId="11" fillId="2" borderId="2" xfId="0" applyNumberFormat="1" applyFont="1" applyFill="1" applyBorder="1" applyAlignment="1">
      <alignment horizontal="center"/>
    </xf>
    <xf numFmtId="164" fontId="11" fillId="2" borderId="2" xfId="0" applyNumberFormat="1" applyFont="1" applyFill="1" applyBorder="1" applyAlignment="1">
      <alignment horizontal="center" vertical="center"/>
    </xf>
    <xf numFmtId="165" fontId="11" fillId="2" borderId="0" xfId="0" applyNumberFormat="1" applyFont="1" applyFill="1" applyAlignment="1">
      <alignment horizontal="center" vertical="center"/>
    </xf>
    <xf numFmtId="0" fontId="11" fillId="6" borderId="0" xfId="0" applyFont="1" applyFill="1" applyAlignment="1">
      <alignment horizontal="center"/>
    </xf>
    <xf numFmtId="0" fontId="11" fillId="6" borderId="0" xfId="0" applyFont="1" applyFill="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xf>
    <xf numFmtId="0" fontId="11" fillId="0" borderId="0" xfId="0" applyFont="1" applyFill="1"/>
    <xf numFmtId="164" fontId="21" fillId="0" borderId="0" xfId="0" applyNumberFormat="1" applyFont="1" applyAlignment="1" applyProtection="1">
      <alignment horizontal="center"/>
    </xf>
    <xf numFmtId="164" fontId="21" fillId="2" borderId="0" xfId="0" applyNumberFormat="1" applyFont="1" applyFill="1" applyAlignment="1" applyProtection="1">
      <alignment horizontal="center"/>
      <protection locked="0"/>
    </xf>
    <xf numFmtId="0" fontId="12" fillId="2" borderId="1" xfId="0" applyFont="1" applyFill="1" applyBorder="1"/>
    <xf numFmtId="0" fontId="12" fillId="2" borderId="1" xfId="0" applyFont="1" applyFill="1" applyBorder="1" applyAlignment="1">
      <alignment horizontal="center"/>
    </xf>
    <xf numFmtId="0" fontId="12" fillId="2" borderId="1" xfId="0" applyFont="1" applyFill="1" applyBorder="1" applyAlignment="1">
      <alignment horizontal="center" vertical="center"/>
    </xf>
    <xf numFmtId="164" fontId="12" fillId="3" borderId="1" xfId="0" applyNumberFormat="1" applyFont="1" applyFill="1" applyBorder="1"/>
    <xf numFmtId="1" fontId="7" fillId="6" borderId="0" xfId="0" applyNumberFormat="1" applyFont="1" applyFill="1"/>
    <xf numFmtId="2" fontId="7" fillId="6" borderId="0" xfId="0" applyNumberFormat="1" applyFont="1" applyFill="1"/>
    <xf numFmtId="0" fontId="0" fillId="6" borderId="0" xfId="0" applyFill="1" applyBorder="1" applyAlignment="1"/>
    <xf numFmtId="0" fontId="0" fillId="6" borderId="0" xfId="0" applyFill="1" applyBorder="1" applyAlignment="1">
      <alignment wrapText="1"/>
    </xf>
    <xf numFmtId="0" fontId="8" fillId="6" borderId="0" xfId="0" applyFont="1" applyFill="1" applyBorder="1" applyAlignment="1"/>
    <xf numFmtId="0" fontId="8" fillId="6" borderId="0" xfId="0" applyFont="1" applyFill="1" applyBorder="1" applyAlignment="1">
      <alignment wrapText="1"/>
    </xf>
    <xf numFmtId="0" fontId="31" fillId="6" borderId="0" xfId="1" applyFont="1" applyFill="1" applyAlignment="1" applyProtection="1"/>
    <xf numFmtId="166" fontId="7" fillId="5" borderId="0" xfId="0" applyNumberFormat="1" applyFont="1" applyFill="1" applyAlignment="1">
      <alignment horizontal="center"/>
    </xf>
    <xf numFmtId="0" fontId="30" fillId="6" borderId="0" xfId="0" applyFont="1" applyFill="1" applyAlignment="1"/>
    <xf numFmtId="0" fontId="0" fillId="8" borderId="0" xfId="0" applyFill="1" applyBorder="1" applyAlignment="1">
      <alignment horizontal="center"/>
    </xf>
    <xf numFmtId="164" fontId="0" fillId="8" borderId="0" xfId="0" applyNumberFormat="1" applyFill="1" applyBorder="1" applyAlignment="1">
      <alignment horizontal="center"/>
    </xf>
    <xf numFmtId="0" fontId="4" fillId="6" borderId="0" xfId="0" applyFont="1" applyFill="1"/>
    <xf numFmtId="164" fontId="21" fillId="3" borderId="0" xfId="0" applyNumberFormat="1" applyFont="1" applyFill="1" applyAlignment="1">
      <alignment horizontal="right"/>
    </xf>
    <xf numFmtId="0" fontId="30" fillId="6" borderId="0" xfId="0" applyFont="1" applyFill="1"/>
    <xf numFmtId="4" fontId="7" fillId="3" borderId="5" xfId="0" applyNumberFormat="1" applyFont="1" applyFill="1" applyBorder="1" applyAlignment="1">
      <alignment horizontal="center"/>
    </xf>
    <xf numFmtId="0" fontId="0" fillId="0" borderId="0" xfId="0" applyFill="1" applyAlignment="1" applyProtection="1">
      <alignment horizontal="center"/>
      <protection locked="0"/>
    </xf>
    <xf numFmtId="1" fontId="22" fillId="0" borderId="6" xfId="0" applyNumberFormat="1" applyFont="1" applyFill="1" applyBorder="1" applyAlignment="1">
      <alignment horizontal="center"/>
    </xf>
    <xf numFmtId="164" fontId="0" fillId="0" borderId="0" xfId="0" applyNumberFormat="1" applyFill="1" applyAlignment="1" applyProtection="1">
      <alignment horizontal="center"/>
      <protection locked="0"/>
    </xf>
    <xf numFmtId="0" fontId="32" fillId="6" borderId="0" xfId="0" applyFont="1" applyFill="1"/>
    <xf numFmtId="0" fontId="0" fillId="6" borderId="2" xfId="0" applyFill="1" applyBorder="1"/>
    <xf numFmtId="0" fontId="0" fillId="6" borderId="7" xfId="0" applyFill="1" applyBorder="1"/>
    <xf numFmtId="0" fontId="0" fillId="9" borderId="2" xfId="0" applyFill="1" applyBorder="1"/>
    <xf numFmtId="0" fontId="0" fillId="9" borderId="7" xfId="0" applyFill="1" applyBorder="1"/>
    <xf numFmtId="0" fontId="0" fillId="8" borderId="2" xfId="0" applyFill="1" applyBorder="1"/>
    <xf numFmtId="0" fontId="0" fillId="8" borderId="7" xfId="0" applyFill="1" applyBorder="1"/>
    <xf numFmtId="0" fontId="0" fillId="10" borderId="2" xfId="0" applyFill="1" applyBorder="1"/>
    <xf numFmtId="0" fontId="0" fillId="10" borderId="7" xfId="0" applyFill="1" applyBorder="1"/>
    <xf numFmtId="0" fontId="0" fillId="11" borderId="2" xfId="0" applyFill="1" applyBorder="1"/>
    <xf numFmtId="0" fontId="0" fillId="11" borderId="7" xfId="0" applyFill="1" applyBorder="1"/>
    <xf numFmtId="0" fontId="9" fillId="7" borderId="0" xfId="1" applyFill="1" applyAlignment="1" applyProtection="1">
      <alignment wrapText="1"/>
      <protection locked="0"/>
    </xf>
    <xf numFmtId="166" fontId="21" fillId="7" borderId="0" xfId="0" applyNumberFormat="1" applyFont="1" applyFill="1" applyAlignment="1" applyProtection="1">
      <alignment horizontal="center"/>
    </xf>
    <xf numFmtId="166" fontId="21" fillId="7" borderId="0" xfId="0" applyNumberFormat="1" applyFont="1" applyFill="1" applyAlignment="1">
      <alignment horizontal="center"/>
    </xf>
    <xf numFmtId="0" fontId="9" fillId="7" borderId="0" xfId="1" applyFill="1" applyBorder="1" applyAlignment="1" applyProtection="1"/>
    <xf numFmtId="166" fontId="21" fillId="7" borderId="0" xfId="0" applyNumberFormat="1" applyFont="1" applyFill="1" applyBorder="1" applyAlignment="1">
      <alignment horizontal="center"/>
    </xf>
    <xf numFmtId="166" fontId="0" fillId="7" borderId="0" xfId="0" applyNumberFormat="1" applyFill="1" applyBorder="1" applyAlignment="1">
      <alignment horizontal="center"/>
    </xf>
    <xf numFmtId="166" fontId="7" fillId="7" borderId="0" xfId="0" applyNumberFormat="1" applyFont="1" applyFill="1" applyAlignment="1">
      <alignment horizontal="center"/>
    </xf>
    <xf numFmtId="166" fontId="0" fillId="7" borderId="0" xfId="0" applyNumberFormat="1" applyFill="1" applyAlignment="1" applyProtection="1">
      <alignment horizontal="center"/>
    </xf>
    <xf numFmtId="166" fontId="7" fillId="7" borderId="0" xfId="0" applyNumberFormat="1" applyFont="1" applyFill="1" applyBorder="1" applyAlignment="1">
      <alignment horizontal="center"/>
    </xf>
    <xf numFmtId="166" fontId="0" fillId="7" borderId="0" xfId="0" applyNumberFormat="1" applyFill="1" applyBorder="1" applyAlignment="1" applyProtection="1">
      <alignment horizontal="center"/>
    </xf>
    <xf numFmtId="166" fontId="0" fillId="7" borderId="0" xfId="0" applyNumberFormat="1" applyFill="1" applyAlignment="1">
      <alignment horizontal="center"/>
    </xf>
    <xf numFmtId="0" fontId="7" fillId="6" borderId="8" xfId="0" applyFont="1" applyFill="1" applyBorder="1"/>
    <xf numFmtId="2" fontId="23" fillId="6" borderId="0" xfId="0" applyNumberFormat="1" applyFont="1" applyFill="1"/>
    <xf numFmtId="164" fontId="7" fillId="7" borderId="0" xfId="0" applyNumberFormat="1" applyFont="1" applyFill="1" applyAlignment="1">
      <alignment horizontal="left"/>
    </xf>
    <xf numFmtId="0" fontId="1" fillId="3" borderId="9" xfId="0" applyFont="1" applyFill="1" applyBorder="1"/>
    <xf numFmtId="0" fontId="1" fillId="3" borderId="3" xfId="0" applyFont="1" applyFill="1" applyBorder="1" applyAlignment="1">
      <alignment horizontal="center"/>
    </xf>
    <xf numFmtId="164" fontId="18" fillId="3" borderId="3" xfId="0" applyNumberFormat="1" applyFont="1" applyFill="1" applyBorder="1" applyAlignment="1">
      <alignment horizontal="center"/>
    </xf>
    <xf numFmtId="164" fontId="25" fillId="3" borderId="10" xfId="0" applyNumberFormat="1" applyFont="1" applyFill="1" applyBorder="1" applyAlignment="1">
      <alignment horizontal="center"/>
    </xf>
    <xf numFmtId="0" fontId="7" fillId="3" borderId="11" xfId="0" applyFont="1" applyFill="1" applyBorder="1"/>
    <xf numFmtId="0" fontId="13" fillId="3" borderId="0" xfId="0" applyFont="1" applyFill="1" applyBorder="1" applyAlignment="1">
      <alignment horizontal="center"/>
    </xf>
    <xf numFmtId="0" fontId="18" fillId="3" borderId="0" xfId="0" applyNumberFormat="1" applyFont="1" applyFill="1" applyBorder="1" applyAlignment="1">
      <alignment horizontal="center"/>
    </xf>
    <xf numFmtId="0" fontId="25" fillId="3" borderId="12" xfId="0" applyNumberFormat="1" applyFont="1" applyFill="1" applyBorder="1" applyAlignment="1">
      <alignment horizontal="center"/>
    </xf>
    <xf numFmtId="0" fontId="7" fillId="3" borderId="13" xfId="0" applyFont="1" applyFill="1" applyBorder="1"/>
    <xf numFmtId="0" fontId="7" fillId="3" borderId="1" xfId="0" applyFont="1" applyFill="1" applyBorder="1" applyAlignment="1">
      <alignment horizontal="center"/>
    </xf>
    <xf numFmtId="0" fontId="18" fillId="3" borderId="1" xfId="0" applyNumberFormat="1" applyFont="1" applyFill="1" applyBorder="1" applyAlignment="1">
      <alignment horizontal="center"/>
    </xf>
    <xf numFmtId="0" fontId="25" fillId="3" borderId="14" xfId="0" applyNumberFormat="1" applyFont="1" applyFill="1" applyBorder="1" applyAlignment="1">
      <alignment horizontal="center"/>
    </xf>
    <xf numFmtId="164" fontId="1" fillId="7" borderId="0" xfId="0" applyNumberFormat="1" applyFont="1" applyFill="1" applyBorder="1" applyAlignment="1">
      <alignment horizontal="center"/>
    </xf>
    <xf numFmtId="0" fontId="7" fillId="7" borderId="11" xfId="0" applyFont="1" applyFill="1" applyBorder="1"/>
    <xf numFmtId="0" fontId="7" fillId="7" borderId="0" xfId="0" applyFont="1" applyFill="1" applyBorder="1" applyAlignment="1">
      <alignment horizontal="center"/>
    </xf>
    <xf numFmtId="164" fontId="18" fillId="7" borderId="0" xfId="0" applyNumberFormat="1" applyFont="1" applyFill="1" applyBorder="1" applyAlignment="1">
      <alignment horizontal="center"/>
    </xf>
    <xf numFmtId="164" fontId="25" fillId="7" borderId="12" xfId="0" applyNumberFormat="1" applyFont="1" applyFill="1" applyBorder="1" applyAlignment="1">
      <alignment horizontal="center"/>
    </xf>
    <xf numFmtId="0" fontId="1" fillId="7" borderId="11" xfId="0" applyFont="1" applyFill="1" applyBorder="1"/>
    <xf numFmtId="0" fontId="1" fillId="7" borderId="0" xfId="0" applyFont="1" applyFill="1" applyBorder="1" applyAlignment="1">
      <alignment horizontal="center"/>
    </xf>
    <xf numFmtId="164" fontId="24" fillId="7" borderId="12" xfId="0" applyNumberFormat="1" applyFont="1" applyFill="1" applyBorder="1" applyAlignment="1">
      <alignment horizontal="center"/>
    </xf>
    <xf numFmtId="0" fontId="12" fillId="7" borderId="11" xfId="0" applyFont="1" applyFill="1" applyBorder="1"/>
    <xf numFmtId="0" fontId="13" fillId="7" borderId="0" xfId="0" applyFont="1" applyFill="1" applyBorder="1" applyAlignment="1">
      <alignment horizontal="center"/>
    </xf>
    <xf numFmtId="0" fontId="0" fillId="7" borderId="11" xfId="0" applyFill="1" applyBorder="1"/>
    <xf numFmtId="0" fontId="0" fillId="7" borderId="0" xfId="0" applyFill="1" applyBorder="1"/>
    <xf numFmtId="164" fontId="1" fillId="7" borderId="12" xfId="0" applyNumberFormat="1" applyFont="1" applyFill="1" applyBorder="1" applyAlignment="1">
      <alignment horizontal="center"/>
    </xf>
    <xf numFmtId="0" fontId="18" fillId="7" borderId="11" xfId="0" applyFont="1" applyFill="1" applyBorder="1"/>
    <xf numFmtId="0" fontId="0" fillId="7" borderId="13" xfId="0" applyFill="1" applyBorder="1"/>
    <xf numFmtId="0" fontId="0" fillId="7" borderId="1" xfId="0" applyFill="1" applyBorder="1"/>
    <xf numFmtId="164" fontId="1" fillId="7" borderId="14" xfId="0" applyNumberFormat="1" applyFont="1" applyFill="1" applyBorder="1" applyAlignment="1">
      <alignment horizontal="center"/>
    </xf>
    <xf numFmtId="164" fontId="1" fillId="8" borderId="0" xfId="0" applyNumberFormat="1" applyFont="1" applyFill="1" applyBorder="1" applyAlignment="1">
      <alignment horizontal="center"/>
    </xf>
    <xf numFmtId="0" fontId="0" fillId="6" borderId="3" xfId="0" applyFill="1" applyBorder="1"/>
    <xf numFmtId="164" fontId="1" fillId="6" borderId="3" xfId="0" applyNumberFormat="1" applyFont="1" applyFill="1" applyBorder="1" applyAlignment="1">
      <alignment horizontal="center"/>
    </xf>
    <xf numFmtId="0" fontId="7" fillId="6" borderId="2" xfId="0" applyFont="1" applyFill="1" applyBorder="1"/>
    <xf numFmtId="0" fontId="7" fillId="6" borderId="7" xfId="0" applyFont="1" applyFill="1" applyBorder="1"/>
    <xf numFmtId="0" fontId="7" fillId="9" borderId="8" xfId="0" applyFont="1" applyFill="1" applyBorder="1"/>
    <xf numFmtId="0" fontId="7" fillId="8" borderId="8" xfId="0" applyFont="1" applyFill="1" applyBorder="1"/>
    <xf numFmtId="0" fontId="7" fillId="10" borderId="8" xfId="0" applyFont="1" applyFill="1" applyBorder="1"/>
    <xf numFmtId="0" fontId="7" fillId="11" borderId="8" xfId="0" applyFont="1" applyFill="1" applyBorder="1"/>
    <xf numFmtId="0" fontId="15" fillId="6" borderId="0" xfId="0" applyFont="1" applyFill="1" applyBorder="1"/>
    <xf numFmtId="0" fontId="15" fillId="6" borderId="0" xfId="0" applyFont="1" applyFill="1" applyBorder="1" applyAlignment="1">
      <alignment horizontal="center"/>
    </xf>
    <xf numFmtId="0" fontId="15" fillId="6" borderId="0" xfId="0" applyFont="1" applyFill="1" applyBorder="1" applyAlignment="1">
      <alignment horizontal="center" vertical="center"/>
    </xf>
    <xf numFmtId="0" fontId="0" fillId="6" borderId="1" xfId="0" applyFill="1" applyBorder="1"/>
    <xf numFmtId="0" fontId="0" fillId="6" borderId="1" xfId="0" applyFill="1" applyBorder="1" applyAlignment="1">
      <alignment horizontal="center"/>
    </xf>
    <xf numFmtId="0" fontId="0" fillId="6" borderId="1" xfId="0" applyFill="1" applyBorder="1" applyAlignment="1">
      <alignment horizontal="center" vertical="center"/>
    </xf>
    <xf numFmtId="0" fontId="0" fillId="8" borderId="0" xfId="0" applyFill="1" applyBorder="1" applyAlignment="1" applyProtection="1">
      <alignment horizontal="center"/>
      <protection locked="0"/>
    </xf>
    <xf numFmtId="164" fontId="0" fillId="10" borderId="0" xfId="0" applyNumberFormat="1" applyFill="1" applyBorder="1" applyAlignment="1" applyProtection="1">
      <alignment horizontal="center"/>
    </xf>
    <xf numFmtId="164" fontId="0" fillId="11" borderId="0" xfId="0" applyNumberFormat="1" applyFill="1" applyBorder="1" applyAlignment="1" applyProtection="1">
      <alignment horizontal="center"/>
    </xf>
    <xf numFmtId="0" fontId="2" fillId="7" borderId="0" xfId="0" applyFont="1" applyFill="1"/>
    <xf numFmtId="0" fontId="15" fillId="6" borderId="1" xfId="0" applyFont="1" applyFill="1" applyBorder="1"/>
    <xf numFmtId="0" fontId="11" fillId="6" borderId="1" xfId="0" applyFont="1" applyFill="1" applyBorder="1"/>
    <xf numFmtId="0" fontId="11" fillId="6" borderId="1" xfId="0" applyFont="1" applyFill="1" applyBorder="1" applyAlignment="1">
      <alignment horizontal="center"/>
    </xf>
    <xf numFmtId="0" fontId="11" fillId="6" borderId="1" xfId="0" applyFont="1" applyFill="1" applyBorder="1" applyAlignment="1">
      <alignment horizontal="center" vertical="center"/>
    </xf>
    <xf numFmtId="0" fontId="11" fillId="0" borderId="0" xfId="0" applyFont="1" applyAlignment="1" applyProtection="1">
      <alignment horizontal="center"/>
    </xf>
    <xf numFmtId="164" fontId="11" fillId="0" borderId="0" xfId="0" applyNumberFormat="1" applyFont="1" applyAlignment="1" applyProtection="1">
      <alignment horizontal="center"/>
    </xf>
    <xf numFmtId="0" fontId="11" fillId="9" borderId="0" xfId="0" applyFont="1" applyFill="1" applyAlignment="1" applyProtection="1">
      <alignment horizontal="center"/>
    </xf>
    <xf numFmtId="164" fontId="11" fillId="9" borderId="0" xfId="0" applyNumberFormat="1" applyFont="1" applyFill="1" applyAlignment="1" applyProtection="1">
      <alignment horizontal="center"/>
    </xf>
    <xf numFmtId="0" fontId="11" fillId="8" borderId="0" xfId="0" applyFont="1" applyFill="1" applyAlignment="1" applyProtection="1">
      <alignment horizontal="center"/>
      <protection locked="0"/>
    </xf>
    <xf numFmtId="0" fontId="11" fillId="8" borderId="0" xfId="0" applyFont="1" applyFill="1" applyProtection="1">
      <protection locked="0"/>
    </xf>
    <xf numFmtId="164" fontId="11" fillId="11" borderId="0" xfId="0" applyNumberFormat="1" applyFont="1" applyFill="1" applyBorder="1" applyAlignment="1" applyProtection="1">
      <alignment horizontal="center"/>
    </xf>
    <xf numFmtId="164" fontId="11" fillId="10" borderId="0" xfId="0" applyNumberFormat="1" applyFont="1" applyFill="1" applyBorder="1" applyAlignment="1" applyProtection="1">
      <alignment horizontal="center"/>
    </xf>
    <xf numFmtId="0" fontId="11" fillId="8" borderId="0" xfId="0" applyFont="1" applyFill="1" applyBorder="1" applyAlignment="1" applyProtection="1">
      <alignment horizontal="center"/>
      <protection locked="0"/>
    </xf>
    <xf numFmtId="164" fontId="11" fillId="8" borderId="0" xfId="0" applyNumberFormat="1" applyFont="1" applyFill="1" applyBorder="1" applyAlignment="1" applyProtection="1">
      <alignment horizontal="center"/>
    </xf>
    <xf numFmtId="10" fontId="21" fillId="9" borderId="0" xfId="0" applyNumberFormat="1" applyFont="1" applyFill="1" applyBorder="1" applyAlignment="1">
      <alignment horizontal="center"/>
    </xf>
    <xf numFmtId="164" fontId="21" fillId="11" borderId="0" xfId="0" applyNumberFormat="1" applyFont="1" applyFill="1"/>
    <xf numFmtId="164" fontId="21" fillId="10" borderId="0" xfId="0" applyNumberFormat="1" applyFont="1" applyFill="1"/>
    <xf numFmtId="164" fontId="0" fillId="11" borderId="0" xfId="0" applyNumberFormat="1" applyFill="1"/>
    <xf numFmtId="164" fontId="0" fillId="10" borderId="0" xfId="0" applyNumberFormat="1" applyFill="1"/>
    <xf numFmtId="0" fontId="7" fillId="6" borderId="1" xfId="0" applyFont="1" applyFill="1" applyBorder="1"/>
    <xf numFmtId="0" fontId="7" fillId="6" borderId="0" xfId="0" applyFont="1" applyFill="1" applyBorder="1"/>
    <xf numFmtId="0" fontId="7" fillId="6" borderId="0" xfId="0" applyFont="1" applyFill="1" applyBorder="1" applyAlignment="1">
      <alignment horizontal="center"/>
    </xf>
    <xf numFmtId="0" fontId="7" fillId="6" borderId="0" xfId="0" applyFont="1" applyFill="1" applyBorder="1" applyAlignment="1">
      <alignment horizontal="center" vertical="center"/>
    </xf>
    <xf numFmtId="0" fontId="0" fillId="8" borderId="0" xfId="0" applyFill="1" applyProtection="1">
      <protection locked="0"/>
    </xf>
    <xf numFmtId="0" fontId="0" fillId="10" borderId="0" xfId="0" applyFill="1" applyProtection="1">
      <protection locked="0"/>
    </xf>
    <xf numFmtId="0" fontId="0" fillId="8" borderId="0" xfId="0" applyFill="1" applyBorder="1" applyAlignment="1" applyProtection="1">
      <alignment horizontal="center"/>
    </xf>
    <xf numFmtId="164" fontId="0" fillId="10" borderId="0" xfId="0" applyNumberFormat="1" applyFill="1" applyBorder="1" applyAlignment="1" applyProtection="1">
      <alignment horizontal="center"/>
      <protection locked="0"/>
    </xf>
    <xf numFmtId="0" fontId="2" fillId="7" borderId="1" xfId="0" applyFont="1" applyFill="1" applyBorder="1"/>
    <xf numFmtId="0" fontId="0" fillId="9" borderId="0" xfId="0" applyFill="1" applyBorder="1" applyAlignment="1" applyProtection="1">
      <alignment horizontal="center"/>
    </xf>
    <xf numFmtId="164" fontId="0" fillId="9" borderId="0" xfId="0" applyNumberFormat="1" applyFill="1" applyBorder="1" applyAlignment="1" applyProtection="1">
      <alignment horizontal="center"/>
    </xf>
    <xf numFmtId="164" fontId="11" fillId="10" borderId="0" xfId="0" applyNumberFormat="1" applyFont="1" applyFill="1" applyAlignment="1" applyProtection="1">
      <alignment horizontal="center"/>
    </xf>
    <xf numFmtId="0" fontId="11" fillId="2" borderId="0" xfId="0" applyFont="1" applyFill="1" applyProtection="1"/>
    <xf numFmtId="164" fontId="11" fillId="2" borderId="0" xfId="0" applyNumberFormat="1" applyFont="1" applyFill="1" applyAlignment="1" applyProtection="1">
      <alignment horizontal="center"/>
    </xf>
    <xf numFmtId="0" fontId="11" fillId="10" borderId="0" xfId="0" applyFont="1" applyFill="1" applyProtection="1"/>
    <xf numFmtId="164" fontId="21" fillId="10" borderId="0" xfId="0" applyNumberFormat="1" applyFont="1" applyFill="1" applyBorder="1" applyAlignment="1" applyProtection="1">
      <alignment horizontal="center"/>
    </xf>
    <xf numFmtId="0" fontId="11" fillId="2" borderId="0" xfId="0" applyFont="1" applyFill="1" applyAlignment="1" applyProtection="1">
      <alignment horizontal="center"/>
    </xf>
    <xf numFmtId="0" fontId="12" fillId="2" borderId="0" xfId="0" applyFont="1" applyFill="1" applyAlignment="1" applyProtection="1">
      <alignment horizontal="center"/>
    </xf>
    <xf numFmtId="0" fontId="12" fillId="2" borderId="0" xfId="0" applyFont="1" applyFill="1" applyProtection="1"/>
    <xf numFmtId="164" fontId="12" fillId="3" borderId="0" xfId="0" applyNumberFormat="1" applyFont="1" applyFill="1" applyProtection="1"/>
    <xf numFmtId="0" fontId="21" fillId="2" borderId="0" xfId="0" applyFont="1" applyFill="1" applyAlignment="1" applyProtection="1">
      <alignment horizontal="center"/>
    </xf>
    <xf numFmtId="0" fontId="21" fillId="2" borderId="0" xfId="0" applyFont="1" applyFill="1" applyProtection="1"/>
    <xf numFmtId="164" fontId="21" fillId="3" borderId="0" xfId="0" applyNumberFormat="1" applyFont="1" applyFill="1" applyProtection="1"/>
    <xf numFmtId="0" fontId="7" fillId="2" borderId="1" xfId="0" applyFont="1" applyFill="1" applyBorder="1" applyAlignment="1" applyProtection="1">
      <alignment horizontal="center"/>
    </xf>
    <xf numFmtId="0" fontId="7" fillId="2" borderId="1" xfId="0" applyFont="1" applyFill="1" applyBorder="1" applyProtection="1"/>
    <xf numFmtId="164" fontId="7" fillId="3" borderId="1" xfId="0" applyNumberFormat="1" applyFont="1" applyFill="1" applyBorder="1" applyProtection="1"/>
    <xf numFmtId="2" fontId="11" fillId="11" borderId="0" xfId="0" applyNumberFormat="1" applyFont="1" applyFill="1" applyAlignment="1" applyProtection="1">
      <alignment horizontal="center"/>
    </xf>
    <xf numFmtId="10" fontId="0" fillId="9" borderId="0" xfId="0" applyNumberFormat="1" applyFill="1" applyBorder="1" applyAlignment="1">
      <alignment horizontal="center"/>
    </xf>
    <xf numFmtId="0" fontId="11" fillId="5" borderId="10" xfId="0" applyFont="1" applyFill="1" applyBorder="1"/>
    <xf numFmtId="0" fontId="11" fillId="5" borderId="12" xfId="0" applyFont="1" applyFill="1" applyBorder="1"/>
    <xf numFmtId="0" fontId="11" fillId="5" borderId="12" xfId="0" applyFont="1" applyFill="1" applyBorder="1" applyAlignment="1">
      <alignment horizontal="center"/>
    </xf>
    <xf numFmtId="0" fontId="10" fillId="2" borderId="14" xfId="0" applyFont="1" applyFill="1" applyBorder="1"/>
    <xf numFmtId="0" fontId="10" fillId="7" borderId="12" xfId="0" applyFont="1" applyFill="1" applyBorder="1"/>
    <xf numFmtId="0" fontId="11" fillId="5" borderId="15" xfId="0" applyFont="1" applyFill="1" applyBorder="1"/>
    <xf numFmtId="0" fontId="11" fillId="5" borderId="16" xfId="0" applyFont="1" applyFill="1" applyBorder="1"/>
    <xf numFmtId="0" fontId="11" fillId="5" borderId="16" xfId="0" applyFont="1" applyFill="1" applyBorder="1" applyAlignment="1">
      <alignment horizontal="center"/>
    </xf>
    <xf numFmtId="0" fontId="10" fillId="2" borderId="17" xfId="0" applyFont="1" applyFill="1" applyBorder="1"/>
    <xf numFmtId="0" fontId="28" fillId="7" borderId="16" xfId="0" applyFont="1" applyFill="1" applyBorder="1"/>
    <xf numFmtId="0" fontId="10" fillId="7" borderId="16" xfId="0" applyFont="1" applyFill="1" applyBorder="1"/>
    <xf numFmtId="0" fontId="10" fillId="2" borderId="17" xfId="0" applyFont="1" applyFill="1" applyBorder="1" applyAlignment="1">
      <alignment horizontal="center"/>
    </xf>
    <xf numFmtId="0" fontId="10" fillId="7" borderId="16" xfId="0" applyFont="1" applyFill="1" applyBorder="1" applyAlignment="1">
      <alignment horizontal="center"/>
    </xf>
    <xf numFmtId="0" fontId="11" fillId="5" borderId="15" xfId="0" applyFont="1" applyFill="1" applyBorder="1" applyAlignment="1">
      <alignment horizontal="center"/>
    </xf>
    <xf numFmtId="0" fontId="10" fillId="7" borderId="16" xfId="0" applyFont="1" applyFill="1" applyBorder="1" applyAlignment="1">
      <alignment horizontal="right"/>
    </xf>
    <xf numFmtId="0" fontId="10" fillId="7" borderId="5" xfId="0" applyFont="1" applyFill="1" applyBorder="1"/>
    <xf numFmtId="0" fontId="10" fillId="7" borderId="5" xfId="0" applyFont="1" applyFill="1" applyBorder="1" applyAlignment="1">
      <alignment horizontal="center"/>
    </xf>
    <xf numFmtId="0" fontId="10" fillId="7" borderId="7" xfId="0" applyFont="1" applyFill="1" applyBorder="1"/>
    <xf numFmtId="0" fontId="7" fillId="7" borderId="5" xfId="0" applyFont="1" applyFill="1" applyBorder="1"/>
    <xf numFmtId="0" fontId="7" fillId="7" borderId="5" xfId="0" applyFont="1" applyFill="1" applyBorder="1" applyAlignment="1">
      <alignment horizontal="center" wrapText="1"/>
    </xf>
    <xf numFmtId="0" fontId="0" fillId="7" borderId="5" xfId="0" applyFill="1" applyBorder="1"/>
    <xf numFmtId="164" fontId="0" fillId="7" borderId="5" xfId="0" applyNumberFormat="1" applyFill="1" applyBorder="1" applyAlignment="1">
      <alignment horizontal="center"/>
    </xf>
    <xf numFmtId="4" fontId="0" fillId="7" borderId="5" xfId="0" applyNumberFormat="1" applyFill="1" applyBorder="1" applyAlignment="1">
      <alignment horizontal="center"/>
    </xf>
    <xf numFmtId="164" fontId="1" fillId="7" borderId="5" xfId="0" applyNumberFormat="1" applyFont="1" applyFill="1" applyBorder="1" applyAlignment="1">
      <alignment horizontal="center"/>
    </xf>
    <xf numFmtId="0" fontId="0" fillId="7" borderId="15" xfId="0" applyFill="1" applyBorder="1"/>
    <xf numFmtId="164" fontId="0" fillId="7" borderId="15" xfId="0" applyNumberFormat="1" applyFill="1" applyBorder="1" applyAlignment="1">
      <alignment horizontal="center"/>
    </xf>
    <xf numFmtId="4" fontId="0" fillId="7" borderId="15" xfId="0" applyNumberFormat="1" applyFill="1" applyBorder="1" applyAlignment="1">
      <alignment horizontal="center"/>
    </xf>
    <xf numFmtId="164" fontId="1" fillId="7" borderId="15" xfId="0" applyNumberFormat="1" applyFont="1" applyFill="1" applyBorder="1" applyAlignment="1">
      <alignment horizontal="center"/>
    </xf>
    <xf numFmtId="0" fontId="15" fillId="6" borderId="0" xfId="0" applyFont="1" applyFill="1" applyBorder="1" applyAlignment="1">
      <alignment horizontal="left" vertical="center"/>
    </xf>
    <xf numFmtId="0" fontId="15" fillId="6" borderId="1" xfId="0" applyFont="1" applyFill="1" applyBorder="1" applyAlignment="1">
      <alignment horizontal="left" vertical="center"/>
    </xf>
    <xf numFmtId="2" fontId="0" fillId="11" borderId="0" xfId="0" applyNumberFormat="1" applyFill="1" applyBorder="1" applyAlignment="1" applyProtection="1">
      <alignment horizontal="center"/>
    </xf>
    <xf numFmtId="166" fontId="7" fillId="5" borderId="1" xfId="0" applyNumberFormat="1" applyFont="1" applyFill="1" applyBorder="1" applyAlignment="1">
      <alignment horizontal="center"/>
    </xf>
    <xf numFmtId="1" fontId="7" fillId="5" borderId="1" xfId="0" applyNumberFormat="1" applyFont="1" applyFill="1" applyBorder="1" applyAlignment="1">
      <alignment horizontal="center"/>
    </xf>
    <xf numFmtId="1" fontId="0" fillId="5" borderId="0" xfId="0" applyNumberFormat="1" applyFill="1" applyBorder="1" applyAlignment="1">
      <alignment horizontal="left"/>
    </xf>
    <xf numFmtId="1" fontId="0" fillId="5" borderId="0" xfId="0" applyNumberFormat="1" applyFill="1" applyBorder="1" applyAlignment="1">
      <alignment horizontal="center"/>
    </xf>
    <xf numFmtId="166" fontId="0" fillId="5" borderId="0" xfId="0" applyNumberFormat="1" applyFill="1" applyBorder="1" applyAlignment="1">
      <alignment horizontal="center"/>
    </xf>
    <xf numFmtId="166" fontId="7" fillId="5" borderId="0" xfId="0" applyNumberFormat="1" applyFont="1" applyFill="1" applyBorder="1" applyAlignment="1">
      <alignment horizontal="center"/>
    </xf>
    <xf numFmtId="166" fontId="7" fillId="2" borderId="0" xfId="0" applyNumberFormat="1" applyFont="1" applyFill="1" applyBorder="1" applyAlignment="1">
      <alignment horizontal="center"/>
    </xf>
    <xf numFmtId="0" fontId="7" fillId="2" borderId="0" xfId="0" applyFont="1" applyFill="1" applyBorder="1" applyAlignment="1">
      <alignment horizontal="center"/>
    </xf>
    <xf numFmtId="1" fontId="18" fillId="2" borderId="0" xfId="0" applyNumberFormat="1" applyFont="1" applyFill="1" applyBorder="1" applyAlignment="1">
      <alignment horizontal="center"/>
    </xf>
    <xf numFmtId="0" fontId="7" fillId="5" borderId="1" xfId="0" applyFont="1" applyFill="1" applyBorder="1"/>
    <xf numFmtId="0" fontId="7" fillId="5" borderId="1" xfId="0" applyFont="1" applyFill="1" applyBorder="1" applyAlignment="1">
      <alignment horizontal="center"/>
    </xf>
    <xf numFmtId="1" fontId="11" fillId="5" borderId="1" xfId="0" applyNumberFormat="1" applyFont="1" applyFill="1" applyBorder="1" applyAlignment="1">
      <alignment horizontal="center"/>
    </xf>
    <xf numFmtId="166" fontId="11" fillId="5" borderId="1" xfId="0" applyNumberFormat="1" applyFont="1" applyFill="1" applyBorder="1" applyAlignment="1">
      <alignment horizontal="center"/>
    </xf>
    <xf numFmtId="0" fontId="9" fillId="7" borderId="0" xfId="1" applyFill="1" applyBorder="1" applyAlignment="1" applyProtection="1">
      <alignment wrapText="1"/>
      <protection locked="0"/>
    </xf>
    <xf numFmtId="0" fontId="9" fillId="7" borderId="1" xfId="1" applyFill="1" applyBorder="1" applyAlignment="1" applyProtection="1"/>
    <xf numFmtId="166" fontId="21" fillId="7" borderId="1" xfId="0" applyNumberFormat="1" applyFont="1" applyFill="1" applyBorder="1" applyAlignment="1">
      <alignment horizontal="center"/>
    </xf>
    <xf numFmtId="166" fontId="7" fillId="7" borderId="1" xfId="0" applyNumberFormat="1" applyFont="1" applyFill="1" applyBorder="1" applyAlignment="1">
      <alignment horizontal="center"/>
    </xf>
    <xf numFmtId="166" fontId="0" fillId="7" borderId="1" xfId="0" applyNumberFormat="1" applyFill="1" applyBorder="1" applyAlignment="1">
      <alignment horizontal="center"/>
    </xf>
    <xf numFmtId="166" fontId="0" fillId="7" borderId="1" xfId="0" applyNumberFormat="1" applyFill="1" applyBorder="1" applyAlignment="1" applyProtection="1">
      <alignment horizontal="center"/>
    </xf>
    <xf numFmtId="1" fontId="0" fillId="7" borderId="1" xfId="0" applyNumberFormat="1" applyFill="1" applyBorder="1" applyAlignment="1">
      <alignment horizontal="center"/>
    </xf>
    <xf numFmtId="0" fontId="0" fillId="12" borderId="0" xfId="0" applyFill="1"/>
    <xf numFmtId="0" fontId="23" fillId="12" borderId="0" xfId="0" applyFont="1" applyFill="1" applyBorder="1" applyAlignment="1">
      <alignment horizontal="left"/>
    </xf>
    <xf numFmtId="0" fontId="23" fillId="12" borderId="0" xfId="0" applyFont="1" applyFill="1" applyBorder="1"/>
    <xf numFmtId="9" fontId="0" fillId="12" borderId="0" xfId="0" applyNumberFormat="1" applyFill="1" applyBorder="1"/>
    <xf numFmtId="9" fontId="14" fillId="12" borderId="0" xfId="0" applyNumberFormat="1" applyFont="1" applyFill="1"/>
    <xf numFmtId="0" fontId="0" fillId="12" borderId="0" xfId="0" applyFill="1" applyBorder="1" applyAlignment="1">
      <alignment horizontal="center"/>
    </xf>
    <xf numFmtId="0" fontId="0" fillId="12" borderId="0" xfId="0" applyFill="1" applyAlignment="1">
      <alignment horizontal="center"/>
    </xf>
    <xf numFmtId="1" fontId="0" fillId="12" borderId="0" xfId="0" applyNumberFormat="1" applyFill="1" applyAlignment="1">
      <alignment horizontal="center"/>
    </xf>
    <xf numFmtId="44" fontId="0" fillId="12" borderId="0" xfId="0" applyNumberFormat="1" applyFill="1"/>
    <xf numFmtId="42" fontId="0" fillId="12" borderId="0" xfId="0" applyNumberFormat="1" applyFill="1" applyAlignment="1">
      <alignment horizontal="center"/>
    </xf>
    <xf numFmtId="42" fontId="7" fillId="12" borderId="0" xfId="0" applyNumberFormat="1" applyFont="1" applyFill="1" applyAlignment="1">
      <alignment horizontal="center"/>
    </xf>
    <xf numFmtId="42" fontId="0" fillId="12" borderId="0" xfId="0" applyNumberFormat="1" applyFill="1" applyBorder="1" applyAlignment="1">
      <alignment horizontal="center"/>
    </xf>
    <xf numFmtId="42" fontId="7" fillId="12" borderId="0" xfId="0" applyNumberFormat="1" applyFont="1" applyFill="1"/>
    <xf numFmtId="42" fontId="0" fillId="12" borderId="0" xfId="0" applyNumberFormat="1" applyFill="1"/>
    <xf numFmtId="42" fontId="21" fillId="12" borderId="0" xfId="0" applyNumberFormat="1" applyFont="1" applyFill="1" applyAlignment="1"/>
    <xf numFmtId="1" fontId="0" fillId="12" borderId="3" xfId="0" applyNumberFormat="1" applyFill="1" applyBorder="1" applyAlignment="1">
      <alignment horizontal="left"/>
    </xf>
    <xf numFmtId="1" fontId="1" fillId="12" borderId="3" xfId="0" applyNumberFormat="1" applyFont="1" applyFill="1" applyBorder="1" applyAlignment="1">
      <alignment horizontal="center"/>
    </xf>
    <xf numFmtId="166" fontId="1" fillId="12" borderId="3" xfId="0" applyNumberFormat="1" applyFont="1" applyFill="1" applyBorder="1" applyAlignment="1">
      <alignment horizontal="center"/>
    </xf>
    <xf numFmtId="0" fontId="0" fillId="12" borderId="3" xfId="0" applyFill="1" applyBorder="1"/>
    <xf numFmtId="1" fontId="0" fillId="12" borderId="0" xfId="0" applyNumberFormat="1" applyFill="1" applyBorder="1" applyAlignment="1">
      <alignment horizontal="left"/>
    </xf>
    <xf numFmtId="1" fontId="0" fillId="12" borderId="0" xfId="0" applyNumberFormat="1" applyFill="1" applyBorder="1" applyAlignment="1">
      <alignment horizontal="center"/>
    </xf>
    <xf numFmtId="166" fontId="0" fillId="12" borderId="0" xfId="0" applyNumberFormat="1" applyFill="1" applyBorder="1" applyAlignment="1">
      <alignment horizontal="center"/>
    </xf>
    <xf numFmtId="0" fontId="0" fillId="12" borderId="0" xfId="0" applyFill="1" applyBorder="1"/>
    <xf numFmtId="1" fontId="0" fillId="12" borderId="1" xfId="0" applyNumberFormat="1" applyFill="1" applyBorder="1" applyAlignment="1">
      <alignment horizontal="left"/>
    </xf>
    <xf numFmtId="1" fontId="0" fillId="12" borderId="1" xfId="0" applyNumberFormat="1" applyFill="1" applyBorder="1" applyAlignment="1">
      <alignment horizontal="center"/>
    </xf>
    <xf numFmtId="166" fontId="0" fillId="12" borderId="1" xfId="0" applyNumberFormat="1" applyFill="1" applyBorder="1" applyAlignment="1">
      <alignment horizontal="center"/>
    </xf>
    <xf numFmtId="0" fontId="0" fillId="12" borderId="1" xfId="0" applyFill="1" applyBorder="1"/>
    <xf numFmtId="0" fontId="23" fillId="6" borderId="1" xfId="0" applyFont="1" applyFill="1" applyBorder="1" applyAlignment="1">
      <alignment horizontal="left"/>
    </xf>
    <xf numFmtId="0" fontId="23" fillId="6" borderId="1" xfId="0" applyFont="1" applyFill="1" applyBorder="1" applyAlignment="1">
      <alignment horizontal="center"/>
    </xf>
    <xf numFmtId="1" fontId="23" fillId="6" borderId="1" xfId="0" applyNumberFormat="1" applyFont="1" applyFill="1" applyBorder="1" applyAlignment="1">
      <alignment horizontal="center"/>
    </xf>
    <xf numFmtId="44" fontId="23" fillId="6" borderId="1" xfId="0" applyNumberFormat="1" applyFont="1" applyFill="1" applyBorder="1"/>
    <xf numFmtId="44" fontId="15" fillId="6" borderId="1" xfId="0" applyNumberFormat="1" applyFont="1" applyFill="1" applyBorder="1"/>
    <xf numFmtId="0" fontId="7" fillId="6" borderId="1" xfId="0" applyFont="1" applyFill="1" applyBorder="1" applyAlignment="1">
      <alignment horizontal="center"/>
    </xf>
    <xf numFmtId="0" fontId="2" fillId="12" borderId="0" xfId="0" applyFont="1" applyFill="1" applyAlignment="1"/>
    <xf numFmtId="0" fontId="15" fillId="12" borderId="1" xfId="0" applyFont="1" applyFill="1" applyBorder="1" applyAlignment="1"/>
    <xf numFmtId="0" fontId="2" fillId="12" borderId="0" xfId="0" applyFont="1" applyFill="1" applyBorder="1" applyAlignment="1"/>
    <xf numFmtId="0" fontId="15" fillId="4" borderId="0" xfId="0" applyFont="1" applyFill="1" applyBorder="1" applyAlignment="1"/>
    <xf numFmtId="0" fontId="2" fillId="0" borderId="0" xfId="0" applyFont="1" applyAlignment="1"/>
    <xf numFmtId="0" fontId="8" fillId="4" borderId="0" xfId="0" applyFont="1" applyFill="1" applyBorder="1" applyAlignment="1">
      <alignment wrapText="1"/>
    </xf>
    <xf numFmtId="0" fontId="7" fillId="6" borderId="0" xfId="0" applyFont="1" applyFill="1" applyAlignment="1"/>
    <xf numFmtId="0" fontId="11" fillId="4" borderId="0" xfId="0" applyFont="1" applyFill="1" applyBorder="1"/>
    <xf numFmtId="0" fontId="7" fillId="6" borderId="0" xfId="0" applyFont="1" applyFill="1" applyBorder="1" applyAlignment="1"/>
    <xf numFmtId="0" fontId="7" fillId="0" borderId="0" xfId="0" applyFont="1" applyAlignment="1"/>
    <xf numFmtId="0" fontId="8" fillId="4" borderId="0" xfId="0" applyFont="1" applyFill="1" applyBorder="1"/>
    <xf numFmtId="0" fontId="0" fillId="4" borderId="0" xfId="0" applyFill="1" applyBorder="1" applyAlignment="1"/>
    <xf numFmtId="0" fontId="0" fillId="4" borderId="0" xfId="0" applyFill="1" applyAlignment="1"/>
    <xf numFmtId="0" fontId="7" fillId="4" borderId="0" xfId="0" applyFont="1" applyFill="1"/>
    <xf numFmtId="0" fontId="9" fillId="4" borderId="0" xfId="1" applyFill="1" applyAlignment="1" applyProtection="1"/>
    <xf numFmtId="0" fontId="5" fillId="6" borderId="0" xfId="0" applyFont="1" applyFill="1" applyAlignment="1">
      <alignment textRotation="90"/>
    </xf>
    <xf numFmtId="0" fontId="9" fillId="6" borderId="0" xfId="1" applyFill="1" applyAlignment="1" applyProtection="1">
      <alignment horizontal="center"/>
    </xf>
    <xf numFmtId="0" fontId="30" fillId="6" borderId="0" xfId="0" applyFont="1" applyFill="1" applyAlignment="1">
      <alignment horizontal="center"/>
    </xf>
    <xf numFmtId="0" fontId="9" fillId="0" borderId="0" xfId="1" applyAlignment="1" applyProtection="1"/>
    <xf numFmtId="0" fontId="0" fillId="12" borderId="0" xfId="0" applyFill="1" applyAlignment="1">
      <alignment horizontal="center"/>
    </xf>
    <xf numFmtId="0" fontId="0" fillId="0" borderId="0" xfId="0" applyAlignment="1">
      <alignment horizontal="center"/>
    </xf>
    <xf numFmtId="0" fontId="4" fillId="0" borderId="0" xfId="1" applyFont="1" applyAlignment="1" applyProtection="1">
      <alignment horizontal="center"/>
    </xf>
    <xf numFmtId="0" fontId="11" fillId="0" borderId="0" xfId="0" applyFont="1" applyAlignment="1">
      <alignment horizontal="center"/>
    </xf>
    <xf numFmtId="0" fontId="27" fillId="6" borderId="14" xfId="0" applyFont="1" applyFill="1" applyBorder="1" applyAlignment="1">
      <alignment horizontal="center" vertical="center" wrapText="1"/>
    </xf>
    <xf numFmtId="0" fontId="18" fillId="6" borderId="17" xfId="0" applyFont="1" applyFill="1" applyBorder="1" applyAlignment="1">
      <alignment horizontal="center" vertical="center"/>
    </xf>
    <xf numFmtId="0" fontId="18" fillId="6" borderId="13" xfId="0" applyFont="1" applyFill="1" applyBorder="1" applyAlignment="1">
      <alignment horizontal="center" vertical="center"/>
    </xf>
    <xf numFmtId="0" fontId="15" fillId="6" borderId="0" xfId="0" applyFont="1" applyFill="1" applyBorder="1" applyAlignment="1">
      <alignment horizontal="left"/>
    </xf>
    <xf numFmtId="0" fontId="0" fillId="6" borderId="0" xfId="0" applyFill="1" applyBorder="1" applyAlignment="1">
      <alignment horizontal="left"/>
    </xf>
    <xf numFmtId="0" fontId="9" fillId="6" borderId="0" xfId="1" applyFont="1" applyFill="1" applyAlignment="1" applyProtection="1"/>
    <xf numFmtId="0" fontId="9" fillId="0" borderId="0" xfId="1" applyFont="1" applyAlignment="1" applyProtection="1"/>
    <xf numFmtId="0" fontId="0" fillId="6" borderId="0" xfId="0" applyFill="1" applyAlignment="1"/>
    <xf numFmtId="0" fontId="0" fillId="0" borderId="0" xfId="0" applyAlignment="1"/>
    <xf numFmtId="0" fontId="30" fillId="6" borderId="0" xfId="0" applyFont="1" applyFill="1" applyAlignment="1"/>
    <xf numFmtId="0" fontId="7" fillId="11" borderId="8" xfId="0" applyFont="1" applyFill="1" applyBorder="1" applyAlignment="1"/>
    <xf numFmtId="0" fontId="11" fillId="11" borderId="2" xfId="0" applyFont="1" applyFill="1" applyBorder="1" applyAlignment="1"/>
    <xf numFmtId="0" fontId="11" fillId="11" borderId="7" xfId="0" applyFont="1" applyFill="1" applyBorder="1" applyAlignment="1"/>
    <xf numFmtId="0" fontId="7" fillId="6" borderId="8" xfId="0" applyFont="1" applyFill="1" applyBorder="1" applyAlignment="1"/>
    <xf numFmtId="0" fontId="0" fillId="0" borderId="2" xfId="0" applyBorder="1" applyAlignment="1"/>
    <xf numFmtId="0" fontId="0" fillId="0" borderId="7" xfId="0" applyBorder="1" applyAlignment="1"/>
    <xf numFmtId="0" fontId="7" fillId="9" borderId="8" xfId="0" applyFont="1" applyFill="1" applyBorder="1" applyAlignment="1"/>
    <xf numFmtId="0" fontId="0" fillId="9" borderId="2" xfId="0" applyFill="1" applyBorder="1" applyAlignment="1"/>
    <xf numFmtId="0" fontId="0" fillId="9" borderId="7" xfId="0" applyFill="1" applyBorder="1" applyAlignment="1"/>
    <xf numFmtId="0" fontId="7" fillId="8" borderId="8" xfId="0" applyFont="1" applyFill="1" applyBorder="1" applyAlignment="1"/>
    <xf numFmtId="0" fontId="0" fillId="8" borderId="2" xfId="0" applyFill="1" applyBorder="1" applyAlignment="1"/>
    <xf numFmtId="0" fontId="0" fillId="8" borderId="7" xfId="0" applyFill="1" applyBorder="1" applyAlignment="1"/>
    <xf numFmtId="0" fontId="7" fillId="10" borderId="8" xfId="0" applyFont="1" applyFill="1" applyBorder="1" applyAlignment="1"/>
    <xf numFmtId="0" fontId="0" fillId="10" borderId="2" xfId="0" applyFill="1" applyBorder="1" applyAlignment="1"/>
    <xf numFmtId="0" fontId="0" fillId="10" borderId="7" xfId="0" applyFill="1" applyBorder="1" applyAlignment="1"/>
    <xf numFmtId="0" fontId="21" fillId="6" borderId="0" xfId="0" applyFont="1" applyFill="1" applyAlignment="1"/>
    <xf numFmtId="0" fontId="15" fillId="6" borderId="0" xfId="0" applyFont="1" applyFill="1" applyBorder="1" applyAlignment="1" applyProtection="1">
      <alignment horizontal="left" wrapText="1"/>
      <protection locked="0"/>
    </xf>
    <xf numFmtId="0" fontId="2" fillId="6" borderId="0" xfId="0" applyFont="1" applyFill="1" applyBorder="1" applyAlignment="1" applyProtection="1">
      <alignment horizontal="left" wrapText="1"/>
      <protection locked="0"/>
    </xf>
    <xf numFmtId="0" fontId="21" fillId="6" borderId="0" xfId="0" applyFont="1" applyFill="1"/>
    <xf numFmtId="0" fontId="7" fillId="5" borderId="0" xfId="0" applyFont="1" applyFill="1" applyAlignment="1" applyProtection="1">
      <alignment horizontal="center"/>
      <protection locked="0"/>
    </xf>
    <xf numFmtId="0" fontId="11" fillId="5" borderId="0" xfId="0" applyFont="1" applyFill="1" applyAlignment="1">
      <alignment horizontal="center"/>
    </xf>
    <xf numFmtId="0" fontId="21" fillId="0" borderId="0" xfId="0" applyFont="1" applyAlignment="1" applyProtection="1">
      <alignment horizontal="left"/>
      <protection locked="0"/>
    </xf>
    <xf numFmtId="0" fontId="0" fillId="6" borderId="3" xfId="0" applyFill="1" applyBorder="1" applyAlignment="1"/>
    <xf numFmtId="0" fontId="0" fillId="0" borderId="3" xfId="0" applyBorder="1" applyAlignment="1"/>
    <xf numFmtId="0" fontId="0" fillId="0" borderId="0" xfId="0" applyFill="1" applyAlignment="1" applyProtection="1">
      <protection locked="0"/>
    </xf>
    <xf numFmtId="0" fontId="1" fillId="0" borderId="0" xfId="0" applyFont="1" applyFill="1" applyAlignment="1" applyProtection="1">
      <protection locked="0"/>
    </xf>
    <xf numFmtId="0" fontId="4" fillId="6" borderId="0" xfId="1" applyFont="1" applyFill="1" applyAlignment="1" applyProtection="1"/>
    <xf numFmtId="0" fontId="0" fillId="0" borderId="0" xfId="0" applyAlignment="1" applyProtection="1">
      <alignment horizontal="left" vertical="top" wrapText="1"/>
      <protection locked="0"/>
    </xf>
    <xf numFmtId="0" fontId="15" fillId="6" borderId="0" xfId="0" applyFont="1" applyFill="1" applyAlignment="1" applyProtection="1">
      <alignment horizontal="left" wrapText="1"/>
      <protection locked="0"/>
    </xf>
    <xf numFmtId="0" fontId="15" fillId="6" borderId="1" xfId="0" applyFont="1" applyFill="1" applyBorder="1" applyAlignment="1">
      <alignment vertical="center" wrapText="1"/>
    </xf>
    <xf numFmtId="0" fontId="0" fillId="6" borderId="1" xfId="0" applyFill="1" applyBorder="1" applyAlignment="1">
      <alignment vertical="center"/>
    </xf>
    <xf numFmtId="0" fontId="19" fillId="7" borderId="8" xfId="0" applyFont="1" applyFill="1" applyBorder="1" applyAlignment="1"/>
    <xf numFmtId="0" fontId="19" fillId="7" borderId="2" xfId="0" applyFont="1" applyFill="1" applyBorder="1" applyAlignment="1"/>
    <xf numFmtId="0" fontId="19" fillId="7" borderId="7" xfId="0" applyFont="1" applyFill="1" applyBorder="1" applyAlignment="1"/>
    <xf numFmtId="0" fontId="15" fillId="3" borderId="5" xfId="0" applyFont="1" applyFill="1" applyBorder="1" applyAlignment="1">
      <alignment wrapText="1"/>
    </xf>
    <xf numFmtId="0" fontId="7" fillId="7" borderId="8" xfId="0" applyFont="1" applyFill="1" applyBorder="1" applyAlignment="1">
      <alignment horizontal="center"/>
    </xf>
    <xf numFmtId="0" fontId="7" fillId="7" borderId="2" xfId="0" applyFont="1" applyFill="1" applyBorder="1" applyAlignment="1">
      <alignment horizontal="center"/>
    </xf>
    <xf numFmtId="0" fontId="7" fillId="7" borderId="7" xfId="0" applyFont="1" applyFill="1" applyBorder="1" applyAlignment="1">
      <alignment horizontal="center"/>
    </xf>
    <xf numFmtId="0" fontId="15" fillId="6" borderId="1" xfId="0" applyFont="1" applyFill="1" applyBorder="1" applyAlignment="1">
      <alignment horizontal="left" vertical="center"/>
    </xf>
    <xf numFmtId="0" fontId="33" fillId="7" borderId="8" xfId="0" applyFont="1" applyFill="1" applyBorder="1" applyAlignment="1">
      <alignment horizontal="center" wrapText="1"/>
    </xf>
    <xf numFmtId="0" fontId="33" fillId="7" borderId="2" xfId="0" applyFont="1" applyFill="1" applyBorder="1" applyAlignment="1">
      <alignment horizontal="center" wrapText="1"/>
    </xf>
    <xf numFmtId="0" fontId="33" fillId="7" borderId="7" xfId="0" applyFont="1" applyFill="1" applyBorder="1" applyAlignment="1">
      <alignment horizontal="center" wrapText="1"/>
    </xf>
    <xf numFmtId="0" fontId="31" fillId="2" borderId="8" xfId="1" applyFont="1" applyFill="1" applyBorder="1" applyAlignment="1" applyProtection="1"/>
    <xf numFmtId="0" fontId="31" fillId="0" borderId="2" xfId="1" applyFont="1" applyBorder="1" applyAlignment="1" applyProtection="1"/>
    <xf numFmtId="0" fontId="31" fillId="0" borderId="7" xfId="1" applyFont="1" applyBorder="1" applyAlignment="1" applyProtection="1"/>
    <xf numFmtId="2" fontId="24" fillId="7" borderId="8" xfId="0" applyNumberFormat="1" applyFont="1" applyFill="1" applyBorder="1" applyAlignment="1">
      <alignment wrapText="1"/>
    </xf>
    <xf numFmtId="0" fontId="21" fillId="7" borderId="2" xfId="0" applyFont="1" applyFill="1" applyBorder="1" applyAlignment="1">
      <alignment wrapText="1"/>
    </xf>
    <xf numFmtId="0" fontId="21" fillId="7" borderId="7"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image" Target="../media/image4.jpeg"/></Relationships>
</file>

<file path=xl/charts/_rels/chart2.xml.rels><?xml version="1.0" encoding="UTF-8" standalone="yes"?>
<Relationships xmlns="http://schemas.openxmlformats.org/package/2006/relationships"><Relationship Id="rId1" Type="http://schemas.openxmlformats.org/officeDocument/2006/relationships/image" Target="../media/image4.jpeg"/></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296925050674706"/>
          <c:y val="7.9754601226993918E-2"/>
          <c:w val="0.73109443686109576"/>
          <c:h val="0.7607361963190189"/>
        </c:manualLayout>
      </c:layout>
      <c:barChart>
        <c:barDir val="col"/>
        <c:grouping val="clustered"/>
        <c:ser>
          <c:idx val="0"/>
          <c:order val="0"/>
          <c:tx>
            <c:strRef>
              <c:f>Graphs!$C$7</c:f>
              <c:strCache>
                <c:ptCount val="1"/>
                <c:pt idx="0">
                  <c:v>CT WW</c:v>
                </c:pt>
              </c:strCache>
            </c:strRef>
          </c:tx>
          <c:spPr>
            <a:solidFill>
              <a:srgbClr val="9999FF"/>
            </a:solidFill>
            <a:ln w="12700">
              <a:solidFill>
                <a:srgbClr val="000000"/>
              </a:solidFill>
              <a:prstDash val="solid"/>
            </a:ln>
          </c:spPr>
          <c:dLbls>
            <c:spPr>
              <a:noFill/>
              <a:ln w="25400">
                <a:noFill/>
              </a:ln>
            </c:spPr>
            <c:txPr>
              <a:bodyPr/>
              <a:lstStyle/>
              <a:p>
                <a:pPr>
                  <a:defRPr sz="925" b="0" i="0" u="none" strike="noStrike" baseline="0">
                    <a:solidFill>
                      <a:srgbClr val="000000"/>
                    </a:solidFill>
                    <a:latin typeface="Arial"/>
                    <a:ea typeface="Arial"/>
                    <a:cs typeface="Arial"/>
                  </a:defRPr>
                </a:pPr>
                <a:endParaRPr lang="en-US"/>
              </a:p>
            </c:txPr>
            <c:showVal val="1"/>
          </c:dLbls>
          <c:val>
            <c:numRef>
              <c:f>Graphs!$D$7</c:f>
              <c:numCache>
                <c:formatCode>"$"#,##0</c:formatCode>
                <c:ptCount val="1"/>
                <c:pt idx="0">
                  <c:v>49.860476995000028</c:v>
                </c:pt>
              </c:numCache>
            </c:numRef>
          </c:val>
        </c:ser>
        <c:ser>
          <c:idx val="1"/>
          <c:order val="1"/>
          <c:tx>
            <c:strRef>
              <c:f>Graphs!$C$9</c:f>
              <c:strCache>
                <c:ptCount val="1"/>
                <c:pt idx="0">
                  <c:v>RT WW</c:v>
                </c:pt>
              </c:strCache>
            </c:strRef>
          </c:tx>
          <c:spPr>
            <a:solidFill>
              <a:srgbClr val="993366"/>
            </a:solidFill>
            <a:ln w="12700">
              <a:solidFill>
                <a:srgbClr val="000000"/>
              </a:solidFill>
              <a:prstDash val="solid"/>
            </a:ln>
          </c:spPr>
          <c:dLbls>
            <c:spPr>
              <a:noFill/>
              <a:ln w="25400">
                <a:noFill/>
              </a:ln>
            </c:spPr>
            <c:txPr>
              <a:bodyPr/>
              <a:lstStyle/>
              <a:p>
                <a:pPr>
                  <a:defRPr sz="925" b="0" i="0" u="none" strike="noStrike" baseline="0">
                    <a:solidFill>
                      <a:srgbClr val="000000"/>
                    </a:solidFill>
                    <a:latin typeface="Arial"/>
                    <a:ea typeface="Arial"/>
                    <a:cs typeface="Arial"/>
                  </a:defRPr>
                </a:pPr>
                <a:endParaRPr lang="en-US"/>
              </a:p>
            </c:txPr>
            <c:showVal val="1"/>
          </c:dLbls>
          <c:val>
            <c:numRef>
              <c:f>Graphs!$D$9</c:f>
              <c:numCache>
                <c:formatCode>"$"#,##0</c:formatCode>
                <c:ptCount val="1"/>
                <c:pt idx="0">
                  <c:v>9.6082146774999728</c:v>
                </c:pt>
              </c:numCache>
            </c:numRef>
          </c:val>
        </c:ser>
        <c:dLbls>
          <c:showVal val="1"/>
        </c:dLbls>
        <c:gapWidth val="240"/>
        <c:overlap val="-100"/>
        <c:axId val="67294336"/>
        <c:axId val="67296256"/>
      </c:barChart>
      <c:catAx>
        <c:axId val="67294336"/>
        <c:scaling>
          <c:orientation val="minMax"/>
        </c:scaling>
        <c:delete val="1"/>
        <c:axPos val="b"/>
        <c:tickLblPos val="nextTo"/>
        <c:crossAx val="67296256"/>
        <c:crossesAt val="0"/>
        <c:auto val="1"/>
        <c:lblAlgn val="ctr"/>
        <c:lblOffset val="100"/>
      </c:catAx>
      <c:valAx>
        <c:axId val="67296256"/>
        <c:scaling>
          <c:orientation val="minMax"/>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$/acre/year</a:t>
                </a:r>
              </a:p>
            </c:rich>
          </c:tx>
          <c:layout>
            <c:manualLayout>
              <c:xMode val="edge"/>
              <c:yMode val="edge"/>
              <c:x val="4.4817927170868403E-2"/>
              <c:y val="0.35582822085889593"/>
            </c:manualLayout>
          </c:layout>
          <c:spPr>
            <a:noFill/>
            <a:ln w="25400">
              <a:noFill/>
            </a:ln>
          </c:spPr>
        </c:title>
        <c:numFmt formatCode="&quot;$&quot;#,##0"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67294336"/>
        <c:crosses val="autoZero"/>
        <c:crossBetween val="between"/>
      </c:valAx>
      <c:spPr>
        <a:solidFill>
          <a:srgbClr val="FFFFFF"/>
        </a:solidFill>
        <a:ln w="12700">
          <a:solidFill>
            <a:srgbClr val="000000"/>
          </a:solidFill>
          <a:prstDash val="solid"/>
        </a:ln>
      </c:spPr>
    </c:plotArea>
    <c:legend>
      <c:legendPos val="r"/>
      <c:layout>
        <c:manualLayout>
          <c:xMode val="edge"/>
          <c:yMode val="edge"/>
          <c:x val="0.4677882911694865"/>
          <c:y val="0.9079754601226997"/>
          <c:w val="0.33893645647235282"/>
          <c:h val="7.3619631901840552E-2"/>
        </c:manualLayout>
      </c:layout>
      <c:spPr>
        <a:solidFill>
          <a:srgbClr val="FFFFFF"/>
        </a:solidFill>
        <a:ln w="3175">
          <a:solidFill>
            <a:srgbClr val="000000"/>
          </a:solidFill>
          <a:prstDash val="solid"/>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chart>
  <c:spPr>
    <a:blipFill>
      <a:blip xmlns:r="http://schemas.openxmlformats.org/officeDocument/2006/relationships" r:embed="rId1"/>
      <a:tile tx="0" ty="0" sx="100000" sy="100000" flip="none" algn="tl"/>
    </a:blip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75" b="0" i="0" u="none" strike="noStrike" baseline="0">
                <a:solidFill>
                  <a:srgbClr val="000000"/>
                </a:solidFill>
                <a:latin typeface="Arial"/>
                <a:ea typeface="Arial"/>
                <a:cs typeface="Arial"/>
              </a:defRPr>
            </a:pPr>
            <a:r>
              <a:rPr lang="en-US"/>
              <a:t>Returns over Total Costs by Rotation ($/ac/yr)</a:t>
            </a:r>
          </a:p>
        </c:rich>
      </c:tx>
      <c:layout>
        <c:manualLayout>
          <c:xMode val="edge"/>
          <c:yMode val="edge"/>
          <c:x val="0.14189212834882126"/>
          <c:y val="3.5190615835777136E-2"/>
        </c:manualLayout>
      </c:layout>
      <c:spPr>
        <a:noFill/>
        <a:ln w="25400">
          <a:noFill/>
        </a:ln>
      </c:spPr>
    </c:title>
    <c:plotArea>
      <c:layout>
        <c:manualLayout>
          <c:layoutTarget val="inner"/>
          <c:xMode val="edge"/>
          <c:yMode val="edge"/>
          <c:x val="0.14639671839086779"/>
          <c:y val="0.17888563049853373"/>
          <c:w val="0.82207388019487349"/>
          <c:h val="0.67448680351906165"/>
        </c:manualLayout>
      </c:layout>
      <c:barChart>
        <c:barDir val="col"/>
        <c:grouping val="clustered"/>
        <c:ser>
          <c:idx val="0"/>
          <c:order val="0"/>
          <c:tx>
            <c:strRef>
              <c:f>Graphs!$C$29</c:f>
              <c:strCache>
                <c:ptCount val="1"/>
                <c:pt idx="0">
                  <c:v>SF, CTWW</c:v>
                </c:pt>
              </c:strCache>
            </c:strRef>
          </c:tx>
          <c:spPr>
            <a:solidFill>
              <a:srgbClr val="9999FF"/>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val>
            <c:numRef>
              <c:f>Graphs!$D$29</c:f>
              <c:numCache>
                <c:formatCode>"$"#,##0</c:formatCode>
                <c:ptCount val="1"/>
                <c:pt idx="0">
                  <c:v>24.930238497500014</c:v>
                </c:pt>
              </c:numCache>
            </c:numRef>
          </c:val>
        </c:ser>
        <c:ser>
          <c:idx val="1"/>
          <c:order val="1"/>
          <c:tx>
            <c:strRef>
              <c:f>Graphs!$C$30</c:f>
              <c:strCache>
                <c:ptCount val="1"/>
                <c:pt idx="0">
                  <c:v>CF, RTWW</c:v>
                </c:pt>
              </c:strCache>
            </c:strRef>
          </c:tx>
          <c:spPr>
            <a:solidFill>
              <a:srgbClr val="993366"/>
            </a:solidFill>
            <a:ln w="12700">
              <a:solidFill>
                <a:srgbClr val="000000"/>
              </a:solidFill>
              <a:prstDash val="solid"/>
            </a:ln>
          </c:spPr>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Val val="1"/>
          </c:dLbls>
          <c:val>
            <c:numRef>
              <c:f>Graphs!$D$30</c:f>
              <c:numCache>
                <c:formatCode>"$"#,##0</c:formatCode>
                <c:ptCount val="1"/>
                <c:pt idx="0">
                  <c:v>4.8041073387499864</c:v>
                </c:pt>
              </c:numCache>
            </c:numRef>
          </c:val>
        </c:ser>
        <c:dLbls>
          <c:showVal val="1"/>
        </c:dLbls>
        <c:gapWidth val="320"/>
        <c:overlap val="-80"/>
        <c:axId val="75120640"/>
        <c:axId val="75122176"/>
      </c:barChart>
      <c:catAx>
        <c:axId val="75120640"/>
        <c:scaling>
          <c:orientation val="minMax"/>
        </c:scaling>
        <c:delete val="1"/>
        <c:axPos val="b"/>
        <c:tickLblPos val="nextTo"/>
        <c:crossAx val="75122176"/>
        <c:crossesAt val="0"/>
        <c:auto val="1"/>
        <c:lblAlgn val="ctr"/>
        <c:lblOffset val="100"/>
      </c:catAx>
      <c:valAx>
        <c:axId val="75122176"/>
        <c:scaling>
          <c:orientation val="minMax"/>
        </c:scaling>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$/acre/year</a:t>
                </a:r>
              </a:p>
            </c:rich>
          </c:tx>
          <c:layout>
            <c:manualLayout>
              <c:xMode val="edge"/>
              <c:yMode val="edge"/>
              <c:x val="3.6036036036036036E-2"/>
              <c:y val="0.43108504398826997"/>
            </c:manualLayout>
          </c:layout>
          <c:spPr>
            <a:noFill/>
            <a:ln w="25400">
              <a:noFill/>
            </a:ln>
          </c:spPr>
        </c:title>
        <c:numFmt formatCode="&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120640"/>
        <c:crosses val="autoZero"/>
        <c:crossBetween val="between"/>
        <c:majorUnit val="5"/>
        <c:minorUnit val="1"/>
      </c:valAx>
      <c:spPr>
        <a:solidFill>
          <a:srgbClr val="FFFFFF"/>
        </a:solidFill>
        <a:ln w="12700">
          <a:solidFill>
            <a:srgbClr val="808080"/>
          </a:solidFill>
          <a:prstDash val="solid"/>
        </a:ln>
      </c:spPr>
    </c:plotArea>
    <c:legend>
      <c:legendPos val="r"/>
      <c:layout>
        <c:manualLayout>
          <c:xMode val="edge"/>
          <c:yMode val="edge"/>
          <c:x val="0.41441536024213188"/>
          <c:y val="0.91495601173020491"/>
          <c:w val="0.31306377243385142"/>
          <c:h val="6.4516129032258132E-2"/>
        </c:manualLayout>
      </c:layout>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en-US"/>
        </a:p>
      </c:txPr>
    </c:legend>
    <c:plotVisOnly val="1"/>
    <c:dispBlanksAs val="gap"/>
  </c:chart>
  <c:spPr>
    <a:blipFill>
      <a:blip xmlns:r="http://schemas.openxmlformats.org/officeDocument/2006/relationships" r:embed="rId1"/>
      <a:tile tx="0" ty="0" sx="100000" sy="100000" flip="none" algn="tl"/>
    </a:blip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2</xdr:row>
      <xdr:rowOff>114300</xdr:rowOff>
    </xdr:from>
    <xdr:to>
      <xdr:col>11</xdr:col>
      <xdr:colOff>76200</xdr:colOff>
      <xdr:row>18</xdr:row>
      <xdr:rowOff>85725</xdr:rowOff>
    </xdr:to>
    <xdr:pic>
      <xdr:nvPicPr>
        <xdr:cNvPr id="2" name="Picture 4" descr="tractor CWCo"/>
        <xdr:cNvPicPr>
          <a:picLocks noChangeAspect="1" noChangeArrowheads="1"/>
        </xdr:cNvPicPr>
      </xdr:nvPicPr>
      <xdr:blipFill>
        <a:blip xmlns:r="http://schemas.openxmlformats.org/officeDocument/2006/relationships" r:embed="rId1"/>
        <a:srcRect/>
        <a:stretch>
          <a:fillRect/>
        </a:stretch>
      </xdr:blipFill>
      <xdr:spPr bwMode="auto">
        <a:xfrm>
          <a:off x="200025" y="1247775"/>
          <a:ext cx="5314950" cy="36290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10</xdr:col>
      <xdr:colOff>190500</xdr:colOff>
      <xdr:row>2</xdr:row>
      <xdr:rowOff>85725</xdr:rowOff>
    </xdr:to>
    <xdr:pic>
      <xdr:nvPicPr>
        <xdr:cNvPr id="3" name="Picture 4" descr="01UICALS-metallic.jpg"/>
        <xdr:cNvPicPr>
          <a:picLocks noChangeAspect="1"/>
        </xdr:cNvPicPr>
      </xdr:nvPicPr>
      <xdr:blipFill>
        <a:blip xmlns:r="http://schemas.openxmlformats.org/officeDocument/2006/relationships" r:embed="rId2"/>
        <a:srcRect/>
        <a:stretch>
          <a:fillRect/>
        </a:stretch>
      </xdr:blipFill>
      <xdr:spPr bwMode="auto">
        <a:xfrm>
          <a:off x="0" y="0"/>
          <a:ext cx="5638800" cy="1219200"/>
        </a:xfrm>
        <a:prstGeom prst="rect">
          <a:avLst/>
        </a:prstGeom>
        <a:noFill/>
        <a:ln w="9525">
          <a:noFill/>
          <a:miter lim="800000"/>
          <a:headEnd/>
          <a:tailEnd/>
        </a:ln>
      </xdr:spPr>
    </xdr:pic>
    <xdr:clientData/>
  </xdr:twoCellAnchor>
  <xdr:twoCellAnchor editAs="oneCell">
    <xdr:from>
      <xdr:col>0</xdr:col>
      <xdr:colOff>200025</xdr:colOff>
      <xdr:row>2</xdr:row>
      <xdr:rowOff>114300</xdr:rowOff>
    </xdr:from>
    <xdr:to>
      <xdr:col>11</xdr:col>
      <xdr:colOff>180975</xdr:colOff>
      <xdr:row>18</xdr:row>
      <xdr:rowOff>304800</xdr:rowOff>
    </xdr:to>
    <xdr:pic>
      <xdr:nvPicPr>
        <xdr:cNvPr id="4" name="Picture 1" descr="palouse tractor"/>
        <xdr:cNvPicPr>
          <a:picLocks noChangeAspect="1" noChangeArrowheads="1"/>
        </xdr:cNvPicPr>
      </xdr:nvPicPr>
      <xdr:blipFill>
        <a:blip xmlns:r="http://schemas.openxmlformats.org/officeDocument/2006/relationships" r:embed="rId3"/>
        <a:srcRect/>
        <a:stretch>
          <a:fillRect/>
        </a:stretch>
      </xdr:blipFill>
      <xdr:spPr bwMode="auto">
        <a:xfrm>
          <a:off x="200025" y="1247775"/>
          <a:ext cx="5781675" cy="3848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xdr:row>
      <xdr:rowOff>95250</xdr:rowOff>
    </xdr:from>
    <xdr:to>
      <xdr:col>6</xdr:col>
      <xdr:colOff>542925</xdr:colOff>
      <xdr:row>21</xdr:row>
      <xdr:rowOff>85725</xdr:rowOff>
    </xdr:to>
    <xdr:graphicFrame macro="">
      <xdr:nvGraphicFramePr>
        <xdr:cNvPr id="62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552450</xdr:colOff>
      <xdr:row>23</xdr:row>
      <xdr:rowOff>0</xdr:rowOff>
    </xdr:from>
    <xdr:to>
      <xdr:col>8</xdr:col>
      <xdr:colOff>123825</xdr:colOff>
      <xdr:row>43</xdr:row>
      <xdr:rowOff>9525</xdr:rowOff>
    </xdr:to>
    <xdr:graphicFrame macro="">
      <xdr:nvGraphicFramePr>
        <xdr:cNvPr id="62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Instructions"/>
      <sheetName val="SUMMARY"/>
      <sheetName val="GRAPHICAL"/>
      <sheetName val="Index"/>
      <sheetName val="SWWW"/>
      <sheetName val="DNSW"/>
      <sheetName val="SWSW"/>
      <sheetName val="SB"/>
      <sheetName val="PEAS"/>
      <sheetName val="LENTILS"/>
      <sheetName val="GARB"/>
      <sheetName val="SPR CANOLA"/>
      <sheetName val="PUSHED SPR CANOLA"/>
      <sheetName val="PRICES"/>
      <sheetName val="MACHINE"/>
      <sheetName val="Instructions "/>
      <sheetName val="Graphs"/>
      <sheetName val="Summer Fallow"/>
      <sheetName val="SF Calendar"/>
      <sheetName val="Winter Wheat"/>
      <sheetName val="WW Calendar"/>
      <sheetName val="Spring Barley"/>
      <sheetName val="SB Calendar"/>
      <sheetName val="Hard Red Spring Wheat"/>
      <sheetName val="HRSW Calendar"/>
      <sheetName val="Machinery Complement"/>
      <sheetName val="Hourly Machinery Costs"/>
      <sheetName val="Soft White Spring Wheat"/>
      <sheetName val="Spring Peas"/>
      <sheetName val="Spring Lentils"/>
      <sheetName val="Garbanzos"/>
      <sheetName val="Spring Canola, Direct Harvested"/>
      <sheetName val="Spring Canola, Pushed Harvest"/>
      <sheetName val="SWWW Calendar"/>
      <sheetName val="SWSW Calendar"/>
      <sheetName val="SP Calendar"/>
      <sheetName val="SL Calendar"/>
      <sheetName val="G Calendar"/>
      <sheetName val="SC,DH Calendar"/>
      <sheetName val="SC, PH Calendar"/>
      <sheetName val="CT Winter Wheat"/>
      <sheetName val="CT WW Calendar"/>
      <sheetName val="Chem Fallow"/>
      <sheetName val="CF Calendar"/>
      <sheetName val="RT WW"/>
      <sheetName val="RT WW Calendar"/>
      <sheetName val="CT Machinery Complement"/>
      <sheetName val="CT Hourly Machinery Cost"/>
      <sheetName val="Soft White Winter Whe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5">
          <cell r="D5">
            <v>3.5</v>
          </cell>
        </row>
        <row r="6">
          <cell r="D6">
            <v>3</v>
          </cell>
        </row>
        <row r="9">
          <cell r="D9">
            <v>0.35</v>
          </cell>
        </row>
        <row r="10">
          <cell r="D10">
            <v>0.2</v>
          </cell>
        </row>
        <row r="11">
          <cell r="D11">
            <v>0.35</v>
          </cell>
        </row>
        <row r="12">
          <cell r="D12">
            <v>0.27</v>
          </cell>
        </row>
        <row r="13">
          <cell r="D13">
            <v>0.495</v>
          </cell>
        </row>
        <row r="14">
          <cell r="D14">
            <v>0.48</v>
          </cell>
        </row>
        <row r="15">
          <cell r="D15">
            <v>6</v>
          </cell>
        </row>
        <row r="18">
          <cell r="D18">
            <v>0.67</v>
          </cell>
        </row>
        <row r="19">
          <cell r="D19">
            <v>0.65</v>
          </cell>
        </row>
        <row r="20">
          <cell r="D20">
            <v>0.23</v>
          </cell>
        </row>
        <row r="21">
          <cell r="D21">
            <v>0.44</v>
          </cell>
        </row>
        <row r="24">
          <cell r="D24">
            <v>0.2</v>
          </cell>
        </row>
        <row r="26">
          <cell r="D26">
            <v>1.4999999999999999E-2</v>
          </cell>
        </row>
        <row r="27">
          <cell r="D27">
            <v>6.25</v>
          </cell>
        </row>
        <row r="29">
          <cell r="D29">
            <v>0.01</v>
          </cell>
        </row>
        <row r="30">
          <cell r="D30">
            <v>0.12</v>
          </cell>
        </row>
        <row r="31">
          <cell r="D31">
            <v>0.24</v>
          </cell>
        </row>
        <row r="36">
          <cell r="D36">
            <v>1.75</v>
          </cell>
        </row>
        <row r="37">
          <cell r="D37">
            <v>6.5</v>
          </cell>
        </row>
        <row r="38">
          <cell r="D38">
            <v>10</v>
          </cell>
        </row>
        <row r="39">
          <cell r="D39">
            <v>2.5</v>
          </cell>
        </row>
        <row r="40">
          <cell r="D40">
            <v>1</v>
          </cell>
        </row>
        <row r="45">
          <cell r="D45">
            <v>32.5</v>
          </cell>
        </row>
        <row r="46">
          <cell r="D46">
            <v>2</v>
          </cell>
        </row>
        <row r="47">
          <cell r="D47">
            <v>24.81</v>
          </cell>
        </row>
        <row r="48">
          <cell r="D48">
            <v>1.2</v>
          </cell>
        </row>
        <row r="49">
          <cell r="D49">
            <v>1.81</v>
          </cell>
        </row>
        <row r="50">
          <cell r="D50">
            <v>5.68</v>
          </cell>
        </row>
        <row r="51">
          <cell r="D51">
            <v>0.3</v>
          </cell>
        </row>
        <row r="52">
          <cell r="D52">
            <v>10.17</v>
          </cell>
        </row>
        <row r="53">
          <cell r="D53">
            <v>5.25</v>
          </cell>
        </row>
        <row r="54">
          <cell r="D54">
            <v>4.41</v>
          </cell>
        </row>
        <row r="55">
          <cell r="D55">
            <v>12.52</v>
          </cell>
        </row>
        <row r="56">
          <cell r="D56">
            <v>17.399999999999999</v>
          </cell>
        </row>
        <row r="58">
          <cell r="D58">
            <v>6.88</v>
          </cell>
        </row>
        <row r="60">
          <cell r="D60">
            <v>3.55</v>
          </cell>
        </row>
        <row r="61">
          <cell r="D61">
            <v>0.25</v>
          </cell>
        </row>
        <row r="62">
          <cell r="D62">
            <v>4.1500000000000004</v>
          </cell>
        </row>
        <row r="63">
          <cell r="D63">
            <v>2.23</v>
          </cell>
        </row>
        <row r="64">
          <cell r="D64">
            <v>1.22</v>
          </cell>
        </row>
        <row r="65">
          <cell r="D65">
            <v>0.93</v>
          </cell>
        </row>
        <row r="66">
          <cell r="D66">
            <v>0.43</v>
          </cell>
        </row>
        <row r="67">
          <cell r="D67">
            <v>0.43</v>
          </cell>
        </row>
        <row r="71">
          <cell r="D71">
            <v>20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ebpages.uidaho.edu/~kpainter/" TargetMode="External"/><Relationship Id="rId2" Type="http://schemas.openxmlformats.org/officeDocument/2006/relationships/hyperlink" Target="mailto:kpainter@uidaho.edu" TargetMode="External"/><Relationship Id="rId1" Type="http://schemas.openxmlformats.org/officeDocument/2006/relationships/hyperlink" Target="http://csanr.wsu.edu/Publications/FarmMgmtEconomics.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uidaho.edu/~kpainter/"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A41"/>
  <sheetViews>
    <sheetView tabSelected="1" workbookViewId="0">
      <selection activeCell="R42" sqref="R42"/>
    </sheetView>
  </sheetViews>
  <sheetFormatPr defaultColWidth="8.7109375" defaultRowHeight="12.75"/>
  <cols>
    <col min="1" max="1" width="3.28515625" style="48" customWidth="1"/>
    <col min="2" max="10" width="8.7109375" style="48" customWidth="1"/>
    <col min="11" max="11" width="5.28515625" style="48" customWidth="1"/>
    <col min="12" max="16384" width="8.7109375" style="48"/>
  </cols>
  <sheetData>
    <row r="1" ht="76.5" customHeight="1"/>
    <row r="18" spans="6:14" ht="96.75" customHeight="1">
      <c r="K18" s="464" t="s">
        <v>342</v>
      </c>
    </row>
    <row r="19" spans="6:14" ht="36.75" customHeight="1">
      <c r="I19" s="464"/>
    </row>
    <row r="23" spans="6:14" ht="18.75">
      <c r="F23" s="135" t="s">
        <v>353</v>
      </c>
      <c r="N23" s="135"/>
    </row>
    <row r="24" spans="6:14" ht="18.75">
      <c r="F24" s="135" t="s">
        <v>354</v>
      </c>
    </row>
    <row r="25" spans="6:14" ht="18.75">
      <c r="F25" s="135" t="s">
        <v>343</v>
      </c>
    </row>
    <row r="26" spans="6:14">
      <c r="F26" s="71"/>
    </row>
    <row r="27" spans="6:14" s="57" customFormat="1">
      <c r="F27" s="216" t="s">
        <v>344</v>
      </c>
    </row>
    <row r="28" spans="6:14" s="57" customFormat="1">
      <c r="F28" s="216" t="s">
        <v>345</v>
      </c>
    </row>
    <row r="29" spans="6:14" s="57" customFormat="1">
      <c r="F29" s="216" t="s">
        <v>346</v>
      </c>
    </row>
    <row r="30" spans="6:14" s="57" customFormat="1">
      <c r="F30" s="216" t="s">
        <v>347</v>
      </c>
    </row>
    <row r="31" spans="6:14" s="57" customFormat="1">
      <c r="F31" s="216" t="s">
        <v>348</v>
      </c>
    </row>
    <row r="32" spans="6:14" s="57" customFormat="1">
      <c r="F32" s="216" t="s">
        <v>349</v>
      </c>
    </row>
    <row r="33" spans="1:79" s="57" customFormat="1">
      <c r="F33" s="216" t="s">
        <v>350</v>
      </c>
    </row>
    <row r="34" spans="1:79" s="57" customFormat="1">
      <c r="F34" s="465" t="s">
        <v>351</v>
      </c>
    </row>
    <row r="35" spans="1:79" s="57" customFormat="1"/>
    <row r="36" spans="1:79" s="57" customFormat="1" ht="14.25">
      <c r="F36" s="466"/>
    </row>
    <row r="39" spans="1:79" customFormat="1">
      <c r="A39" s="48"/>
      <c r="B39" s="48"/>
      <c r="C39" s="468" t="s">
        <v>231</v>
      </c>
      <c r="D39" s="469"/>
      <c r="E39" s="469"/>
      <c r="F39" s="469"/>
      <c r="G39" s="469"/>
      <c r="H39" s="469"/>
      <c r="I39" s="469"/>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row>
    <row r="40" spans="1:79">
      <c r="D40" s="467" t="s">
        <v>352</v>
      </c>
    </row>
    <row r="41" spans="1:79" customFormat="1">
      <c r="A41" s="48"/>
      <c r="B41" s="48"/>
      <c r="C41" s="470" t="s">
        <v>230</v>
      </c>
      <c r="D41" s="471"/>
      <c r="E41" s="471"/>
      <c r="F41" s="471"/>
      <c r="G41" s="471"/>
      <c r="H41" s="471"/>
      <c r="I41" s="471"/>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row>
  </sheetData>
  <mergeCells count="2">
    <mergeCell ref="C39:I39"/>
    <mergeCell ref="C41:I41"/>
  </mergeCells>
  <hyperlinks>
    <hyperlink ref="C41" r:id="rId1"/>
    <hyperlink ref="F34" r:id="rId2"/>
    <hyperlink ref="D40" r:id="rId3" location="med"/>
  </hyperlinks>
  <pageMargins left="0.7" right="0.7" top="0.75" bottom="0.75" header="0.3" footer="0.3"/>
  <pageSetup scale="96" orientation="portrait" horizontalDpi="300" verticalDpi="300" r:id="rId4"/>
  <drawing r:id="rId5"/>
</worksheet>
</file>

<file path=xl/worksheets/sheet10.xml><?xml version="1.0" encoding="utf-8"?>
<worksheet xmlns="http://schemas.openxmlformats.org/spreadsheetml/2006/main" xmlns:r="http://schemas.openxmlformats.org/officeDocument/2006/relationships">
  <dimension ref="A1:AG102"/>
  <sheetViews>
    <sheetView topLeftCell="B4" zoomScaleNormal="100" workbookViewId="0">
      <selection activeCell="B4" sqref="B4:J4"/>
    </sheetView>
  </sheetViews>
  <sheetFormatPr defaultColWidth="8.7109375" defaultRowHeight="12.75"/>
  <cols>
    <col min="1" max="1" width="3.7109375" style="48" customWidth="1"/>
    <col min="2" max="2" width="27.28515625" customWidth="1"/>
    <col min="3" max="3" width="2" customWidth="1"/>
    <col min="4" max="4" width="11.7109375" style="76" customWidth="1"/>
    <col min="5" max="5" width="1.140625" customWidth="1"/>
    <col min="6" max="6" width="10.7109375" style="27" customWidth="1"/>
    <col min="7" max="7" width="1.42578125" customWidth="1"/>
    <col min="8" max="8" width="10.7109375" style="76" customWidth="1"/>
    <col min="9" max="9" width="1.7109375" customWidth="1"/>
    <col min="10" max="10" width="22.28515625" style="40" customWidth="1"/>
    <col min="11" max="11" width="3.28515625" hidden="1" customWidth="1"/>
    <col min="12" max="33" width="8.7109375" style="48" customWidth="1"/>
  </cols>
  <sheetData>
    <row r="1" spans="1:33" s="48" customFormat="1">
      <c r="D1" s="71"/>
      <c r="F1" s="49"/>
      <c r="H1" s="71"/>
    </row>
    <row r="2" spans="1:33" s="48" customFormat="1" ht="18" customHeight="1">
      <c r="B2" s="485" t="s">
        <v>133</v>
      </c>
      <c r="C2" s="486"/>
      <c r="D2" s="486"/>
      <c r="E2" s="486"/>
      <c r="F2" s="486"/>
      <c r="G2" s="486"/>
      <c r="H2" s="486"/>
      <c r="I2" s="486"/>
      <c r="J2" s="487"/>
    </row>
    <row r="3" spans="1:33" s="48" customFormat="1">
      <c r="B3" s="488" t="s">
        <v>69</v>
      </c>
      <c r="C3" s="489"/>
      <c r="D3" s="489"/>
      <c r="E3" s="489"/>
      <c r="F3" s="489"/>
      <c r="G3" s="489"/>
      <c r="H3" s="489"/>
      <c r="I3" s="489"/>
      <c r="J3" s="490"/>
    </row>
    <row r="4" spans="1:33" s="48" customFormat="1">
      <c r="B4" s="491" t="s">
        <v>113</v>
      </c>
      <c r="C4" s="492"/>
      <c r="D4" s="492"/>
      <c r="E4" s="492"/>
      <c r="F4" s="492"/>
      <c r="G4" s="492"/>
      <c r="H4" s="492"/>
      <c r="I4" s="492"/>
      <c r="J4" s="493"/>
    </row>
    <row r="5" spans="1:33" s="48" customFormat="1">
      <c r="B5" s="494" t="s">
        <v>70</v>
      </c>
      <c r="C5" s="495"/>
      <c r="D5" s="495"/>
      <c r="E5" s="495"/>
      <c r="F5" s="495"/>
      <c r="G5" s="495"/>
      <c r="H5" s="495"/>
      <c r="I5" s="495"/>
      <c r="J5" s="496"/>
    </row>
    <row r="6" spans="1:33" s="48" customFormat="1">
      <c r="B6" s="482" t="s">
        <v>71</v>
      </c>
      <c r="C6" s="483"/>
      <c r="D6" s="483"/>
      <c r="E6" s="483"/>
      <c r="F6" s="483"/>
      <c r="G6" s="483"/>
      <c r="H6" s="483"/>
      <c r="I6" s="483"/>
      <c r="J6" s="484"/>
    </row>
    <row r="7" spans="1:33" s="48" customFormat="1">
      <c r="D7" s="71"/>
      <c r="F7" s="49"/>
      <c r="H7" s="71"/>
    </row>
    <row r="8" spans="1:33" s="56" customFormat="1" ht="24.75" customHeight="1">
      <c r="A8" s="55"/>
      <c r="B8" s="308" t="s">
        <v>261</v>
      </c>
      <c r="C8" s="338"/>
      <c r="D8" s="339"/>
      <c r="E8" s="338"/>
      <c r="F8" s="340"/>
      <c r="G8" s="338"/>
      <c r="H8" s="339"/>
      <c r="I8" s="338"/>
      <c r="J8" s="338"/>
      <c r="K8" s="55"/>
      <c r="L8" s="55"/>
      <c r="M8" s="55"/>
      <c r="N8" s="55"/>
      <c r="O8" s="55"/>
      <c r="P8" s="55"/>
      <c r="Q8" s="55"/>
      <c r="R8" s="55"/>
      <c r="S8" s="55"/>
      <c r="T8" s="55"/>
      <c r="U8" s="55"/>
      <c r="V8" s="55"/>
      <c r="W8" s="55"/>
      <c r="X8" s="55"/>
      <c r="Y8" s="55"/>
      <c r="Z8" s="55"/>
      <c r="AA8" s="55"/>
      <c r="AB8" s="55"/>
      <c r="AC8" s="55"/>
      <c r="AD8" s="55"/>
      <c r="AE8" s="55"/>
      <c r="AF8" s="55"/>
      <c r="AG8" s="55"/>
    </row>
    <row r="9" spans="1:33" s="42" customFormat="1" ht="3.75" customHeight="1">
      <c r="A9" s="48"/>
      <c r="B9" s="311"/>
      <c r="C9" s="311"/>
      <c r="D9" s="312"/>
      <c r="E9" s="311"/>
      <c r="F9" s="313"/>
      <c r="G9" s="311"/>
      <c r="H9" s="312"/>
      <c r="I9" s="311"/>
      <c r="J9" s="311"/>
      <c r="K9" s="41"/>
      <c r="L9" s="48"/>
      <c r="M9" s="48"/>
      <c r="N9" s="48"/>
      <c r="O9" s="48"/>
      <c r="P9" s="48"/>
      <c r="Q9" s="48"/>
      <c r="R9" s="48"/>
      <c r="S9" s="48"/>
      <c r="T9" s="48"/>
      <c r="U9" s="48"/>
      <c r="V9" s="48"/>
      <c r="W9" s="48"/>
      <c r="X9" s="48"/>
      <c r="Y9" s="48"/>
      <c r="Z9" s="48"/>
      <c r="AA9" s="48"/>
      <c r="AB9" s="48"/>
      <c r="AC9" s="48"/>
      <c r="AD9" s="48"/>
      <c r="AE9" s="48"/>
      <c r="AF9" s="48"/>
      <c r="AG9" s="48"/>
    </row>
    <row r="10" spans="1:33" ht="15">
      <c r="B10" s="2"/>
      <c r="C10" s="2"/>
      <c r="D10" s="3" t="s">
        <v>105</v>
      </c>
      <c r="E10" s="3"/>
      <c r="F10" s="4"/>
      <c r="G10" s="3"/>
      <c r="H10" s="3" t="s">
        <v>106</v>
      </c>
      <c r="I10" s="3"/>
      <c r="J10" s="5" t="s">
        <v>107</v>
      </c>
    </row>
    <row r="11" spans="1:33" ht="15">
      <c r="B11" s="6" t="s">
        <v>108</v>
      </c>
      <c r="C11" s="2"/>
      <c r="D11" s="3" t="s">
        <v>109</v>
      </c>
      <c r="E11" s="3"/>
      <c r="F11" s="4" t="s">
        <v>110</v>
      </c>
      <c r="G11" s="3"/>
      <c r="H11" s="3" t="s">
        <v>111</v>
      </c>
      <c r="I11" s="3"/>
      <c r="J11" s="5" t="s">
        <v>172</v>
      </c>
    </row>
    <row r="12" spans="1:33" ht="5.25" customHeight="1">
      <c r="B12" s="7"/>
      <c r="C12" s="8"/>
      <c r="D12" s="7"/>
      <c r="E12" s="8"/>
      <c r="F12" s="9"/>
      <c r="G12" s="8"/>
      <c r="H12" s="7"/>
      <c r="I12" s="8"/>
      <c r="J12" s="10"/>
      <c r="K12" s="1"/>
    </row>
    <row r="13" spans="1:33">
      <c r="B13" s="11" t="s">
        <v>98</v>
      </c>
      <c r="C13" s="12"/>
      <c r="D13" s="53"/>
      <c r="E13" s="12"/>
      <c r="F13" s="13"/>
      <c r="G13" s="12"/>
      <c r="H13" s="78"/>
      <c r="I13" s="12"/>
      <c r="J13" s="21"/>
    </row>
    <row r="14" spans="1:33" ht="6.75" customHeight="1">
      <c r="B14" s="12"/>
      <c r="C14" s="12"/>
      <c r="D14" s="53"/>
      <c r="E14" s="12"/>
      <c r="F14" s="13"/>
      <c r="G14" s="12"/>
      <c r="H14" s="78"/>
      <c r="I14" s="12"/>
      <c r="J14" s="21"/>
    </row>
    <row r="15" spans="1:33">
      <c r="B15" s="12" t="s">
        <v>116</v>
      </c>
      <c r="C15" s="12"/>
      <c r="D15" s="53"/>
      <c r="E15" s="12"/>
      <c r="F15" s="13"/>
      <c r="G15" s="12"/>
      <c r="H15" s="78"/>
      <c r="I15" s="12"/>
      <c r="J15" s="22">
        <f>SUM(J16:J17)</f>
        <v>0</v>
      </c>
      <c r="M15" s="50"/>
    </row>
    <row r="16" spans="1:33">
      <c r="B16" s="23"/>
      <c r="C16" s="12"/>
      <c r="D16" s="341"/>
      <c r="E16" s="12"/>
      <c r="F16" s="24"/>
      <c r="G16" s="12"/>
      <c r="H16" s="342"/>
      <c r="I16" s="12"/>
      <c r="J16" s="25">
        <f>D16*H16</f>
        <v>0</v>
      </c>
    </row>
    <row r="17" spans="2:10">
      <c r="B17" s="23"/>
      <c r="C17" s="12"/>
      <c r="D17" s="341"/>
      <c r="E17" s="12"/>
      <c r="F17" s="24"/>
      <c r="G17" s="12"/>
      <c r="H17" s="342"/>
      <c r="I17" s="12"/>
      <c r="J17" s="25">
        <f>D17*H17</f>
        <v>0</v>
      </c>
    </row>
    <row r="18" spans="2:10" ht="5.0999999999999996" customHeight="1">
      <c r="B18" s="12"/>
      <c r="C18" s="12"/>
      <c r="D18" s="53"/>
      <c r="E18" s="12"/>
      <c r="F18" s="13"/>
      <c r="G18" s="12"/>
      <c r="H18" s="78"/>
      <c r="I18" s="12"/>
      <c r="J18" s="25"/>
    </row>
    <row r="19" spans="2:10">
      <c r="B19" s="12" t="s">
        <v>117</v>
      </c>
      <c r="C19" s="12"/>
      <c r="D19" s="53"/>
      <c r="E19" s="12"/>
      <c r="F19" s="13"/>
      <c r="G19" s="12"/>
      <c r="H19" s="78"/>
      <c r="I19" s="12"/>
      <c r="J19" s="26">
        <f>SUM(J20:J23)</f>
        <v>48.424000000000007</v>
      </c>
    </row>
    <row r="20" spans="2:10">
      <c r="B20" s="23" t="s">
        <v>90</v>
      </c>
      <c r="C20" s="12"/>
      <c r="D20" s="343">
        <f>22*4</f>
        <v>88</v>
      </c>
      <c r="E20" s="12"/>
      <c r="F20" s="24" t="s">
        <v>200</v>
      </c>
      <c r="G20" s="12"/>
      <c r="H20" s="315">
        <f>+Roundup</f>
        <v>0.46800000000000003</v>
      </c>
      <c r="I20" s="12"/>
      <c r="J20" s="25">
        <f>D20*H20</f>
        <v>41.184000000000005</v>
      </c>
    </row>
    <row r="21" spans="2:10">
      <c r="B21" s="23" t="s">
        <v>155</v>
      </c>
      <c r="C21" s="12"/>
      <c r="D21" s="343">
        <f>3.2*4</f>
        <v>12.8</v>
      </c>
      <c r="E21" s="12"/>
      <c r="F21" s="24" t="s">
        <v>200</v>
      </c>
      <c r="G21" s="12"/>
      <c r="H21" s="315">
        <f>+Excel</f>
        <v>0.2</v>
      </c>
      <c r="I21" s="12"/>
      <c r="J21" s="25">
        <f>D21*H21</f>
        <v>2.5600000000000005</v>
      </c>
    </row>
    <row r="22" spans="2:10">
      <c r="B22" s="23" t="s">
        <v>154</v>
      </c>
      <c r="C22" s="12"/>
      <c r="D22" s="343">
        <f>50*4</f>
        <v>200</v>
      </c>
      <c r="E22" s="12"/>
      <c r="F22" s="24" t="s">
        <v>200</v>
      </c>
      <c r="G22" s="12"/>
      <c r="H22" s="315">
        <f>+UltraPro</f>
        <v>2.3400000000000001E-2</v>
      </c>
      <c r="I22" s="12"/>
      <c r="J22" s="25">
        <f>D22*H22</f>
        <v>4.68</v>
      </c>
    </row>
    <row r="23" spans="2:10">
      <c r="B23" s="23"/>
      <c r="C23" s="12"/>
      <c r="D23" s="314"/>
      <c r="E23" s="12"/>
      <c r="F23" s="24"/>
      <c r="G23" s="12"/>
      <c r="H23" s="344"/>
      <c r="I23" s="12"/>
      <c r="J23" s="25">
        <f>D23*H23</f>
        <v>0</v>
      </c>
    </row>
    <row r="24" spans="2:10" ht="5.25" customHeight="1">
      <c r="B24" s="12"/>
      <c r="C24" s="12"/>
      <c r="D24" s="12"/>
      <c r="E24" s="12"/>
      <c r="F24" s="13"/>
      <c r="G24" s="12"/>
      <c r="H24" s="78"/>
      <c r="I24" s="12"/>
      <c r="J24" s="25"/>
    </row>
    <row r="25" spans="2:10">
      <c r="B25" s="12" t="s">
        <v>65</v>
      </c>
      <c r="C25" s="12"/>
      <c r="D25" s="12"/>
      <c r="E25" s="12"/>
      <c r="F25" s="13"/>
      <c r="G25" s="12"/>
      <c r="H25" s="78"/>
      <c r="I25" s="12"/>
      <c r="J25" s="26">
        <f>SUM(J26:J30)</f>
        <v>10.420099999999998</v>
      </c>
    </row>
    <row r="26" spans="2:10">
      <c r="B26" s="40" t="s">
        <v>140</v>
      </c>
      <c r="C26" s="12"/>
      <c r="D26" s="395">
        <f>'Machinery Cost'!$K$89</f>
        <v>1.1955999999999998</v>
      </c>
      <c r="E26" s="12"/>
      <c r="F26" s="24" t="s">
        <v>142</v>
      </c>
      <c r="G26" s="12"/>
      <c r="H26" s="315">
        <f>+Diesel</f>
        <v>2.25</v>
      </c>
      <c r="I26" s="12"/>
      <c r="J26" s="25">
        <f>D26*H26</f>
        <v>2.6900999999999993</v>
      </c>
    </row>
    <row r="27" spans="2:10">
      <c r="B27" s="40" t="s">
        <v>141</v>
      </c>
      <c r="C27" s="12"/>
      <c r="D27" s="242">
        <v>1</v>
      </c>
      <c r="E27" s="12"/>
      <c r="F27" s="24" t="s">
        <v>199</v>
      </c>
      <c r="G27" s="12"/>
      <c r="H27" s="316">
        <f>'Machinery Cost'!$L$89</f>
        <v>0.47600000000000003</v>
      </c>
      <c r="I27" s="12"/>
      <c r="J27" s="25">
        <f>D27*H27</f>
        <v>0.47600000000000003</v>
      </c>
    </row>
    <row r="28" spans="2:10">
      <c r="B28" s="40" t="s">
        <v>182</v>
      </c>
      <c r="C28" s="12"/>
      <c r="D28" s="243">
        <v>1</v>
      </c>
      <c r="E28" s="12"/>
      <c r="F28" s="24" t="s">
        <v>199</v>
      </c>
      <c r="G28" s="12"/>
      <c r="H28" s="316">
        <f>'Machinery Cost'!$G$89</f>
        <v>1.7999999999999998</v>
      </c>
      <c r="I28" s="12"/>
      <c r="J28" s="25">
        <f>D28*H28</f>
        <v>1.7999999999999998</v>
      </c>
    </row>
    <row r="29" spans="2:10">
      <c r="B29" s="40" t="s">
        <v>184</v>
      </c>
      <c r="C29" s="12"/>
      <c r="D29" s="395">
        <f>'Machinery Cost'!$I$89</f>
        <v>0.2727</v>
      </c>
      <c r="E29" s="12"/>
      <c r="F29" s="76" t="s">
        <v>199</v>
      </c>
      <c r="G29" s="12"/>
      <c r="H29" s="315">
        <f>HourlyMachineLabor</f>
        <v>20</v>
      </c>
      <c r="I29" s="12"/>
      <c r="J29" s="21">
        <f>D29*H29</f>
        <v>5.4539999999999997</v>
      </c>
    </row>
    <row r="30" spans="2:10">
      <c r="B30" s="40"/>
      <c r="C30" s="12"/>
      <c r="D30" s="242"/>
      <c r="E30" s="12"/>
      <c r="F30" s="24"/>
      <c r="G30" s="12"/>
      <c r="H30" s="79"/>
      <c r="I30" s="12"/>
      <c r="J30" s="25">
        <f>D30*H30</f>
        <v>0</v>
      </c>
    </row>
    <row r="31" spans="2:10" ht="5.25" customHeight="1">
      <c r="B31" s="12"/>
      <c r="C31" s="12"/>
      <c r="D31" s="12"/>
      <c r="E31" s="12"/>
      <c r="F31" s="13"/>
      <c r="G31" s="12"/>
      <c r="H31" s="78"/>
      <c r="I31" s="12"/>
      <c r="J31" s="25"/>
    </row>
    <row r="32" spans="2:10">
      <c r="B32" s="12" t="s">
        <v>118</v>
      </c>
      <c r="C32" s="12"/>
      <c r="D32" s="12"/>
      <c r="E32" s="12"/>
      <c r="F32" s="13"/>
      <c r="G32" s="12"/>
      <c r="H32" s="78"/>
      <c r="I32" s="12"/>
      <c r="J32" s="26">
        <f>SUM(J33:J34)</f>
        <v>0</v>
      </c>
    </row>
    <row r="33" spans="1:33">
      <c r="B33" s="23" t="s">
        <v>76</v>
      </c>
      <c r="C33" s="12"/>
      <c r="D33" s="314"/>
      <c r="E33" s="53"/>
      <c r="F33" s="24" t="s">
        <v>199</v>
      </c>
      <c r="G33" s="53"/>
      <c r="H33" s="315">
        <f>+RentalSprayer</f>
        <v>1.75</v>
      </c>
      <c r="I33" s="12"/>
      <c r="J33" s="25">
        <f>D33*H33</f>
        <v>0</v>
      </c>
    </row>
    <row r="34" spans="1:33">
      <c r="B34" s="23"/>
      <c r="C34" s="12"/>
      <c r="D34" s="314"/>
      <c r="E34" s="12"/>
      <c r="F34" s="24"/>
      <c r="G34" s="12"/>
      <c r="H34" s="344"/>
      <c r="I34" s="12"/>
      <c r="J34" s="25">
        <f>D34*H34</f>
        <v>0</v>
      </c>
    </row>
    <row r="35" spans="1:33" ht="5.25" customHeight="1">
      <c r="B35" s="12"/>
      <c r="C35" s="12"/>
      <c r="D35" s="53"/>
      <c r="E35" s="12"/>
      <c r="F35" s="13"/>
      <c r="G35" s="12"/>
      <c r="H35" s="78"/>
      <c r="I35" s="12"/>
      <c r="J35" s="25"/>
    </row>
    <row r="36" spans="1:33">
      <c r="B36" s="12" t="s">
        <v>119</v>
      </c>
      <c r="C36" s="12"/>
      <c r="D36" s="53"/>
      <c r="E36" s="12"/>
      <c r="F36" s="13"/>
      <c r="G36" s="12"/>
      <c r="H36" s="78"/>
      <c r="I36" s="12"/>
      <c r="J36" s="26">
        <f>SUM(J37:J40)</f>
        <v>0</v>
      </c>
    </row>
    <row r="37" spans="1:33">
      <c r="B37" s="40" t="s">
        <v>183</v>
      </c>
      <c r="C37" s="12"/>
      <c r="D37" s="98"/>
      <c r="E37" s="12"/>
      <c r="F37" s="76"/>
      <c r="G37" s="12"/>
      <c r="I37" s="12"/>
      <c r="J37" s="21">
        <f>D37*H37</f>
        <v>0</v>
      </c>
    </row>
    <row r="38" spans="1:33">
      <c r="B38" s="40" t="s">
        <v>185</v>
      </c>
      <c r="C38" s="12"/>
      <c r="D38" s="72"/>
      <c r="E38" s="12"/>
      <c r="F38" s="24"/>
      <c r="G38" s="12"/>
      <c r="H38" s="79"/>
      <c r="I38" s="12"/>
      <c r="J38" s="25">
        <f>D38*H38</f>
        <v>0</v>
      </c>
    </row>
    <row r="39" spans="1:33">
      <c r="B39" s="40"/>
      <c r="C39" s="12"/>
      <c r="D39" s="72"/>
      <c r="E39" s="12"/>
      <c r="F39" s="24"/>
      <c r="G39" s="12"/>
      <c r="H39" s="79"/>
      <c r="I39" s="12"/>
      <c r="J39" s="25">
        <f>D39*H39</f>
        <v>0</v>
      </c>
    </row>
    <row r="40" spans="1:33" ht="5.0999999999999996" customHeight="1">
      <c r="B40" s="12"/>
      <c r="C40" s="12"/>
      <c r="D40" s="53"/>
      <c r="E40" s="12"/>
      <c r="F40" s="13"/>
      <c r="G40" s="12"/>
      <c r="H40" s="53"/>
      <c r="I40" s="12"/>
      <c r="J40" s="25"/>
    </row>
    <row r="41" spans="1:33" ht="14.25">
      <c r="B41" s="12" t="s">
        <v>307</v>
      </c>
      <c r="C41" s="12"/>
      <c r="D41" s="53"/>
      <c r="E41" s="12"/>
      <c r="F41" s="13"/>
      <c r="G41" s="12"/>
      <c r="H41" s="53"/>
      <c r="I41" s="12"/>
      <c r="J41" s="25">
        <f>(J15+J19+J25+J32+J36)*0.05</f>
        <v>2.9422050000000004</v>
      </c>
    </row>
    <row r="42" spans="1:33" ht="14.25">
      <c r="B42" s="12" t="s">
        <v>308</v>
      </c>
      <c r="C42" s="12"/>
      <c r="D42" s="53"/>
      <c r="E42" s="12"/>
      <c r="F42" s="13"/>
      <c r="G42" s="12"/>
      <c r="H42" s="53"/>
      <c r="I42" s="12"/>
      <c r="J42" s="25">
        <f>+(J15+J19+J25+J32+J36)*0.09*(0.583333333333333)</f>
        <v>3.0893152499999985</v>
      </c>
    </row>
    <row r="43" spans="1:33" ht="5.25" customHeight="1">
      <c r="B43" s="12"/>
      <c r="C43" s="12"/>
      <c r="D43" s="53"/>
      <c r="E43" s="12"/>
      <c r="F43" s="13"/>
      <c r="G43" s="12"/>
      <c r="H43" s="53"/>
      <c r="I43" s="12"/>
      <c r="J43" s="25"/>
    </row>
    <row r="44" spans="1:33" s="56" customFormat="1">
      <c r="A44" s="55"/>
      <c r="B44" s="61" t="s">
        <v>99</v>
      </c>
      <c r="C44" s="61"/>
      <c r="D44" s="74"/>
      <c r="E44" s="61"/>
      <c r="F44" s="62"/>
      <c r="G44" s="61"/>
      <c r="H44" s="74"/>
      <c r="I44" s="61"/>
      <c r="J44" s="63">
        <f>SUM(J15:J42)-(J15+J19+J25+J32+J36)</f>
        <v>64.875620249999997</v>
      </c>
      <c r="L44" s="55"/>
      <c r="M44" s="55"/>
      <c r="N44" s="55"/>
      <c r="O44" s="55"/>
      <c r="P44" s="55"/>
      <c r="Q44" s="55"/>
      <c r="R44" s="55"/>
      <c r="S44" s="55"/>
      <c r="T44" s="55"/>
      <c r="U44" s="55"/>
      <c r="V44" s="55"/>
      <c r="W44" s="55"/>
      <c r="X44" s="55"/>
      <c r="Y44" s="55"/>
      <c r="Z44" s="55"/>
      <c r="AA44" s="55"/>
      <c r="AB44" s="55"/>
      <c r="AC44" s="55"/>
      <c r="AD44" s="55"/>
      <c r="AE44" s="55"/>
      <c r="AF44" s="55"/>
      <c r="AG44" s="55"/>
    </row>
    <row r="45" spans="1:33" ht="5.25" customHeight="1">
      <c r="B45" s="12"/>
      <c r="C45" s="12"/>
      <c r="D45" s="53"/>
      <c r="E45" s="12"/>
      <c r="F45" s="13"/>
      <c r="G45" s="12"/>
      <c r="H45" s="53"/>
      <c r="I45" s="12"/>
      <c r="J45" s="25"/>
    </row>
    <row r="46" spans="1:33">
      <c r="B46" s="11" t="s">
        <v>100</v>
      </c>
      <c r="C46" s="12"/>
      <c r="D46" s="53"/>
      <c r="E46" s="12"/>
      <c r="F46" s="13"/>
      <c r="G46" s="12"/>
      <c r="H46" s="53"/>
      <c r="I46" s="12"/>
      <c r="J46" s="25"/>
    </row>
    <row r="47" spans="1:33">
      <c r="B47" s="506" t="s">
        <v>138</v>
      </c>
      <c r="C47" s="480"/>
      <c r="D47" s="480"/>
      <c r="E47" s="12"/>
      <c r="F47" s="13"/>
      <c r="G47" s="12"/>
      <c r="H47" s="53"/>
      <c r="I47" s="12"/>
      <c r="J47" s="335">
        <f>'Machinery Cost'!$D$89</f>
        <v>2.2450000000000001</v>
      </c>
    </row>
    <row r="48" spans="1:33">
      <c r="B48" s="506" t="s">
        <v>139</v>
      </c>
      <c r="C48" s="480"/>
      <c r="D48" s="480"/>
      <c r="E48" s="12"/>
      <c r="F48" s="13"/>
      <c r="G48" s="12"/>
      <c r="H48" s="53"/>
      <c r="I48" s="12"/>
      <c r="J48" s="335">
        <f>'Machinery Cost'!$E$89</f>
        <v>1.4650000000000003</v>
      </c>
    </row>
    <row r="49" spans="1:33">
      <c r="B49" s="111" t="s">
        <v>165</v>
      </c>
      <c r="C49" s="40"/>
      <c r="D49" s="110"/>
      <c r="E49" s="12"/>
      <c r="F49" s="13"/>
      <c r="G49" s="12"/>
      <c r="H49" s="53"/>
      <c r="I49" s="12"/>
      <c r="J49" s="335">
        <f>'Machinery Cost'!$F$89</f>
        <v>0.80100000000000005</v>
      </c>
    </row>
    <row r="50" spans="1:33">
      <c r="B50" s="507" t="s">
        <v>153</v>
      </c>
      <c r="C50" s="480"/>
      <c r="D50" s="480"/>
      <c r="E50" s="12"/>
      <c r="F50" s="13"/>
      <c r="G50" s="12"/>
      <c r="H50" s="53"/>
      <c r="I50" s="12"/>
      <c r="J50" s="336">
        <f>landtax</f>
        <v>2.9</v>
      </c>
    </row>
    <row r="51" spans="1:33" ht="1.5" customHeight="1">
      <c r="B51" s="480"/>
      <c r="C51" s="480"/>
      <c r="D51" s="480"/>
      <c r="E51" s="12"/>
      <c r="F51" s="13"/>
      <c r="G51" s="12"/>
      <c r="H51" s="53"/>
      <c r="I51" s="12"/>
      <c r="J51" s="25">
        <v>3.9</v>
      </c>
    </row>
    <row r="52" spans="1:33" ht="5.25" customHeight="1">
      <c r="B52" s="12"/>
      <c r="C52" s="12"/>
      <c r="D52" s="53"/>
      <c r="E52" s="12"/>
      <c r="F52" s="13"/>
      <c r="G52" s="12"/>
      <c r="H52" s="53"/>
      <c r="I52" s="12"/>
      <c r="J52" s="25"/>
    </row>
    <row r="53" spans="1:33" s="56" customFormat="1">
      <c r="A53" s="55"/>
      <c r="B53" s="65" t="s">
        <v>101</v>
      </c>
      <c r="C53" s="65"/>
      <c r="D53" s="77"/>
      <c r="E53" s="65"/>
      <c r="F53" s="66"/>
      <c r="G53" s="65"/>
      <c r="H53" s="77"/>
      <c r="I53" s="65"/>
      <c r="J53" s="67">
        <f>SUM(J47:J51)</f>
        <v>11.311</v>
      </c>
      <c r="L53" s="55"/>
      <c r="M53" s="55"/>
      <c r="N53" s="55"/>
      <c r="O53" s="55"/>
      <c r="P53" s="55"/>
      <c r="Q53" s="55"/>
      <c r="R53" s="55"/>
      <c r="S53" s="55"/>
      <c r="T53" s="55"/>
      <c r="U53" s="55"/>
      <c r="V53" s="55"/>
      <c r="W53" s="55"/>
      <c r="X53" s="55"/>
      <c r="Y53" s="55"/>
      <c r="Z53" s="55"/>
      <c r="AA53" s="55"/>
      <c r="AB53" s="55"/>
      <c r="AC53" s="55"/>
      <c r="AD53" s="55"/>
      <c r="AE53" s="55"/>
      <c r="AF53" s="55"/>
      <c r="AG53" s="55"/>
    </row>
    <row r="54" spans="1:33">
      <c r="B54" s="12"/>
      <c r="C54" s="12"/>
      <c r="D54" s="53"/>
      <c r="E54" s="12"/>
      <c r="F54" s="13"/>
      <c r="G54" s="12"/>
      <c r="H54" s="53"/>
      <c r="I54" s="12"/>
      <c r="J54" s="25"/>
    </row>
    <row r="55" spans="1:33" s="56" customFormat="1">
      <c r="A55" s="55"/>
      <c r="B55" s="65" t="s">
        <v>186</v>
      </c>
      <c r="C55" s="65"/>
      <c r="D55" s="77"/>
      <c r="E55" s="65"/>
      <c r="F55" s="66"/>
      <c r="G55" s="65"/>
      <c r="H55" s="77"/>
      <c r="I55" s="65"/>
      <c r="J55" s="67">
        <f>J44+J53</f>
        <v>76.186620250000004</v>
      </c>
      <c r="L55" s="55"/>
      <c r="M55" s="55"/>
      <c r="N55" s="55"/>
      <c r="O55" s="55"/>
      <c r="P55" s="55"/>
      <c r="Q55" s="55"/>
      <c r="R55" s="55"/>
      <c r="S55" s="55"/>
      <c r="T55" s="55"/>
      <c r="U55" s="55"/>
      <c r="V55" s="55"/>
      <c r="W55" s="55"/>
      <c r="X55" s="55"/>
      <c r="Y55" s="55"/>
      <c r="Z55" s="55"/>
      <c r="AA55" s="55"/>
      <c r="AB55" s="55"/>
      <c r="AC55" s="55"/>
      <c r="AD55" s="55"/>
      <c r="AE55" s="55"/>
      <c r="AF55" s="55"/>
      <c r="AG55" s="55"/>
    </row>
    <row r="56" spans="1:33">
      <c r="B56" s="8"/>
      <c r="C56" s="8"/>
      <c r="D56" s="7"/>
      <c r="E56" s="8"/>
      <c r="F56" s="9"/>
      <c r="G56" s="8"/>
      <c r="H56" s="7"/>
      <c r="I56" s="8"/>
      <c r="J56" s="103"/>
    </row>
    <row r="57" spans="1:33" s="48" customFormat="1">
      <c r="B57" s="48" t="s">
        <v>218</v>
      </c>
      <c r="D57" s="71"/>
      <c r="F57" s="49"/>
      <c r="H57" s="71"/>
    </row>
    <row r="58" spans="1:33" s="48" customFormat="1" ht="15" customHeight="1">
      <c r="B58" s="48" t="s">
        <v>254</v>
      </c>
      <c r="D58" s="71"/>
      <c r="F58" s="49"/>
      <c r="H58" s="71"/>
    </row>
    <row r="59" spans="1:33" s="48" customFormat="1" ht="15" customHeight="1">
      <c r="B59" s="240" t="s">
        <v>288</v>
      </c>
      <c r="D59" s="71"/>
      <c r="F59" s="49"/>
      <c r="H59" s="71"/>
    </row>
    <row r="60" spans="1:33" s="48" customFormat="1" ht="15" customHeight="1">
      <c r="B60" s="481" t="s">
        <v>289</v>
      </c>
      <c r="C60" s="480"/>
      <c r="D60" s="480"/>
      <c r="E60" s="480"/>
      <c r="F60" s="480"/>
      <c r="G60" s="480"/>
      <c r="H60" s="480"/>
      <c r="I60" s="480"/>
      <c r="J60" s="480"/>
    </row>
    <row r="61" spans="1:33" s="48" customFormat="1" ht="15" customHeight="1">
      <c r="B61" s="481" t="s">
        <v>309</v>
      </c>
      <c r="C61" s="480"/>
      <c r="D61" s="480"/>
      <c r="E61" s="480"/>
      <c r="F61" s="480"/>
      <c r="G61" s="480"/>
      <c r="H61" s="480"/>
      <c r="I61" s="480"/>
      <c r="J61" s="480"/>
    </row>
    <row r="62" spans="1:33" s="48" customFormat="1" ht="15" customHeight="1">
      <c r="B62" s="479" t="s">
        <v>95</v>
      </c>
      <c r="C62" s="480"/>
      <c r="D62" s="480"/>
      <c r="E62" s="480"/>
      <c r="F62" s="480"/>
      <c r="G62" s="480"/>
      <c r="H62" s="480"/>
      <c r="I62" s="480"/>
      <c r="J62" s="480"/>
    </row>
    <row r="63" spans="1:33" s="191" customFormat="1" ht="15" customHeight="1">
      <c r="A63" s="48"/>
      <c r="B63" s="477" t="s">
        <v>296</v>
      </c>
      <c r="C63" s="477"/>
      <c r="D63" s="477"/>
      <c r="E63" s="477"/>
      <c r="F63" s="477"/>
      <c r="G63" s="477"/>
      <c r="H63" s="477"/>
      <c r="I63" s="477"/>
      <c r="J63" s="477"/>
      <c r="K63" s="48"/>
      <c r="L63" s="48"/>
      <c r="M63" s="48"/>
      <c r="N63" s="48"/>
      <c r="O63" s="48"/>
      <c r="P63" s="48"/>
      <c r="Q63" s="48"/>
      <c r="R63" s="48"/>
      <c r="S63" s="48"/>
      <c r="T63" s="48"/>
      <c r="U63" s="48"/>
      <c r="V63" s="48"/>
      <c r="W63" s="48"/>
      <c r="X63" s="48"/>
      <c r="Y63" s="48"/>
      <c r="Z63" s="48"/>
      <c r="AA63" s="48"/>
      <c r="AB63" s="48"/>
      <c r="AC63" s="48"/>
      <c r="AD63" s="48"/>
      <c r="AE63" s="48"/>
      <c r="AF63" s="48"/>
      <c r="AG63" s="186"/>
    </row>
    <row r="64" spans="1:33" s="48" customFormat="1">
      <c r="B64" s="479"/>
      <c r="C64" s="480"/>
      <c r="D64" s="480"/>
      <c r="E64" s="480"/>
      <c r="F64" s="480"/>
      <c r="G64" s="480"/>
      <c r="H64" s="480"/>
      <c r="I64" s="480"/>
      <c r="J64" s="480"/>
    </row>
    <row r="65" spans="1:33" s="191" customFormat="1">
      <c r="A65" s="48"/>
      <c r="B65" s="508"/>
      <c r="C65" s="508"/>
      <c r="D65" s="508"/>
      <c r="E65" s="508"/>
      <c r="F65" s="508"/>
      <c r="G65" s="508"/>
      <c r="H65" s="508"/>
      <c r="I65" s="508"/>
      <c r="J65" s="508"/>
      <c r="K65" s="48"/>
      <c r="L65" s="48"/>
      <c r="M65" s="48"/>
      <c r="N65" s="48"/>
      <c r="O65" s="48"/>
      <c r="P65" s="48"/>
      <c r="Q65" s="48"/>
      <c r="R65" s="48"/>
      <c r="S65" s="48"/>
      <c r="T65" s="48"/>
      <c r="U65" s="48"/>
      <c r="V65" s="48"/>
      <c r="W65" s="48"/>
      <c r="X65" s="48"/>
      <c r="Y65" s="48"/>
      <c r="Z65" s="48"/>
      <c r="AA65" s="48"/>
      <c r="AB65" s="48"/>
      <c r="AC65" s="48"/>
      <c r="AD65" s="48"/>
      <c r="AE65" s="48"/>
      <c r="AF65" s="48"/>
      <c r="AG65" s="186"/>
    </row>
    <row r="66" spans="1:33" s="48" customFormat="1">
      <c r="D66" s="71"/>
      <c r="F66" s="49"/>
      <c r="H66" s="71"/>
    </row>
    <row r="67" spans="1:33" s="48" customFormat="1">
      <c r="D67" s="71"/>
      <c r="F67" s="49"/>
      <c r="H67" s="71"/>
    </row>
    <row r="68" spans="1:33" s="48" customFormat="1">
      <c r="D68" s="71"/>
      <c r="F68" s="49"/>
      <c r="H68" s="71"/>
    </row>
    <row r="69" spans="1:33" s="48" customFormat="1">
      <c r="D69" s="71"/>
      <c r="F69" s="49"/>
      <c r="H69" s="71"/>
    </row>
    <row r="70" spans="1:33" s="48" customFormat="1">
      <c r="D70" s="71"/>
      <c r="F70" s="49"/>
      <c r="H70" s="71"/>
    </row>
    <row r="71" spans="1:33" s="48" customFormat="1">
      <c r="D71" s="71"/>
      <c r="F71" s="49"/>
      <c r="H71" s="71"/>
    </row>
    <row r="72" spans="1:33" s="48" customFormat="1">
      <c r="D72" s="71"/>
      <c r="F72" s="49"/>
      <c r="H72" s="71"/>
    </row>
    <row r="73" spans="1:33" s="48" customFormat="1">
      <c r="D73" s="71"/>
      <c r="F73" s="49"/>
      <c r="H73" s="71"/>
    </row>
    <row r="74" spans="1:33" s="48" customFormat="1">
      <c r="D74" s="71"/>
      <c r="F74" s="49"/>
      <c r="H74" s="71"/>
    </row>
    <row r="75" spans="1:33" s="48" customFormat="1">
      <c r="D75" s="71"/>
      <c r="F75" s="49"/>
      <c r="H75" s="71"/>
    </row>
    <row r="76" spans="1:33" s="48" customFormat="1">
      <c r="D76" s="71"/>
      <c r="F76" s="49"/>
      <c r="H76" s="71"/>
    </row>
    <row r="77" spans="1:33" s="48" customFormat="1">
      <c r="D77" s="71"/>
      <c r="F77" s="49"/>
      <c r="H77" s="71"/>
    </row>
    <row r="78" spans="1:33" s="48" customFormat="1">
      <c r="D78" s="71"/>
      <c r="F78" s="49"/>
      <c r="H78" s="71"/>
    </row>
    <row r="79" spans="1:33" s="48" customFormat="1">
      <c r="D79" s="71"/>
      <c r="F79" s="49"/>
      <c r="H79" s="71"/>
    </row>
    <row r="80" spans="1:33" s="48" customFormat="1">
      <c r="D80" s="71"/>
      <c r="F80" s="49"/>
      <c r="H80" s="71"/>
    </row>
    <row r="81" spans="4:8" s="48" customFormat="1">
      <c r="D81" s="71"/>
      <c r="F81" s="49"/>
      <c r="H81" s="71"/>
    </row>
    <row r="82" spans="4:8" s="48" customFormat="1">
      <c r="D82" s="71"/>
      <c r="F82" s="49"/>
      <c r="H82" s="71"/>
    </row>
    <row r="83" spans="4:8" s="48" customFormat="1">
      <c r="D83" s="71"/>
      <c r="F83" s="49"/>
      <c r="H83" s="71"/>
    </row>
    <row r="84" spans="4:8" s="48" customFormat="1">
      <c r="D84" s="71"/>
      <c r="F84" s="49"/>
      <c r="H84" s="71"/>
    </row>
    <row r="85" spans="4:8" s="48" customFormat="1">
      <c r="D85" s="71"/>
      <c r="F85" s="49"/>
      <c r="H85" s="71"/>
    </row>
    <row r="86" spans="4:8" s="48" customFormat="1">
      <c r="D86" s="71"/>
      <c r="F86" s="49"/>
      <c r="H86" s="71"/>
    </row>
    <row r="87" spans="4:8" s="48" customFormat="1">
      <c r="D87" s="71"/>
      <c r="F87" s="49"/>
      <c r="H87" s="71"/>
    </row>
    <row r="88" spans="4:8" s="48" customFormat="1">
      <c r="D88" s="71"/>
      <c r="F88" s="49"/>
      <c r="H88" s="71"/>
    </row>
    <row r="89" spans="4:8" s="48" customFormat="1">
      <c r="D89" s="71"/>
      <c r="F89" s="49"/>
      <c r="H89" s="71"/>
    </row>
    <row r="90" spans="4:8" s="48" customFormat="1">
      <c r="D90" s="71"/>
      <c r="F90" s="49"/>
      <c r="H90" s="71"/>
    </row>
    <row r="91" spans="4:8" s="48" customFormat="1">
      <c r="D91" s="71"/>
      <c r="F91" s="49"/>
      <c r="H91" s="71"/>
    </row>
    <row r="92" spans="4:8" s="48" customFormat="1">
      <c r="D92" s="71"/>
      <c r="F92" s="49"/>
      <c r="H92" s="71"/>
    </row>
    <row r="93" spans="4:8" s="48" customFormat="1">
      <c r="D93" s="71"/>
      <c r="F93" s="49"/>
      <c r="H93" s="71"/>
    </row>
    <row r="94" spans="4:8" s="48" customFormat="1">
      <c r="D94" s="71"/>
      <c r="F94" s="49"/>
      <c r="H94" s="71"/>
    </row>
    <row r="95" spans="4:8" s="48" customFormat="1">
      <c r="D95" s="71"/>
      <c r="F95" s="49"/>
      <c r="H95" s="71"/>
    </row>
    <row r="96" spans="4:8" s="48" customFormat="1">
      <c r="D96" s="71"/>
      <c r="F96" s="49"/>
      <c r="H96" s="71"/>
    </row>
    <row r="97" spans="4:8" s="48" customFormat="1">
      <c r="D97" s="71"/>
      <c r="F97" s="49"/>
      <c r="H97" s="71"/>
    </row>
    <row r="98" spans="4:8" s="48" customFormat="1">
      <c r="D98" s="71"/>
      <c r="F98" s="49"/>
      <c r="H98" s="71"/>
    </row>
    <row r="99" spans="4:8" s="48" customFormat="1">
      <c r="D99" s="71"/>
      <c r="F99" s="49"/>
      <c r="H99" s="71"/>
    </row>
    <row r="100" spans="4:8" s="48" customFormat="1">
      <c r="D100" s="71"/>
      <c r="F100" s="49"/>
      <c r="H100" s="71"/>
    </row>
    <row r="101" spans="4:8" s="48" customFormat="1">
      <c r="D101" s="71"/>
      <c r="F101" s="49"/>
      <c r="H101" s="71"/>
    </row>
    <row r="102" spans="4:8" s="48" customFormat="1">
      <c r="D102" s="71"/>
      <c r="F102" s="49"/>
      <c r="H102" s="71"/>
    </row>
  </sheetData>
  <customSheetViews>
    <customSheetView guid="{E00EC0C4-E70A-4D33-A9FE-7CF308F53A5C}" hiddenColumns="1" showRuler="0" topLeftCell="A50">
      <selection sqref="A1:IV65536"/>
      <pageMargins left="0.75" right="0.75" top="1" bottom="1" header="0.5" footer="0.5"/>
      <headerFooter alignWithMargins="0"/>
    </customSheetView>
  </customSheetViews>
  <mergeCells count="14">
    <mergeCell ref="B47:D47"/>
    <mergeCell ref="B48:D48"/>
    <mergeCell ref="B50:D51"/>
    <mergeCell ref="B64:J64"/>
    <mergeCell ref="B65:J65"/>
    <mergeCell ref="B61:J61"/>
    <mergeCell ref="B62:J62"/>
    <mergeCell ref="B60:J60"/>
    <mergeCell ref="B63:J63"/>
    <mergeCell ref="B6:J6"/>
    <mergeCell ref="B2:J2"/>
    <mergeCell ref="B3:J3"/>
    <mergeCell ref="B4:J4"/>
    <mergeCell ref="B5:J5"/>
  </mergeCells>
  <phoneticPr fontId="5" type="noConversion"/>
  <hyperlinks>
    <hyperlink ref="B63:J63" location="CFMC" display="Chem Fallow Machinery Costs table."/>
  </hyperlinks>
  <printOptions horizontalCentered="1"/>
  <pageMargins left="0.75" right="0.75" top="0.8" bottom="1" header="0.5" footer="0.5"/>
  <pageSetup scale="92" fitToHeight="2" orientation="portrait" verticalDpi="1200" r:id="rId1"/>
  <headerFooter alignWithMargins="0">
    <oddFooter>&amp;L&amp;A&amp;C&amp;F&amp;R&amp;D</oddFooter>
  </headerFooter>
  <ignoredErrors>
    <ignoredError sqref="J16:J44" emptyCellReference="1"/>
  </ignoredErrors>
</worksheet>
</file>

<file path=xl/worksheets/sheet11.xml><?xml version="1.0" encoding="utf-8"?>
<worksheet xmlns="http://schemas.openxmlformats.org/spreadsheetml/2006/main" xmlns:r="http://schemas.openxmlformats.org/officeDocument/2006/relationships">
  <dimension ref="A1:IV66"/>
  <sheetViews>
    <sheetView zoomScaleNormal="100" workbookViewId="0">
      <selection activeCell="D23" sqref="D23:D24"/>
    </sheetView>
  </sheetViews>
  <sheetFormatPr defaultColWidth="8.7109375" defaultRowHeight="12.75"/>
  <cols>
    <col min="1" max="1" width="4.28515625" style="48" customWidth="1"/>
    <col min="2" max="2" width="11" customWidth="1"/>
    <col min="3" max="3" width="20.140625" customWidth="1"/>
    <col min="4" max="4" width="25.42578125" customWidth="1"/>
    <col min="5" max="5" width="45.42578125" customWidth="1"/>
    <col min="6" max="26" width="8.7109375" style="48" customWidth="1"/>
  </cols>
  <sheetData>
    <row r="1" spans="1:256">
      <c r="B1" s="48"/>
      <c r="C1" s="48"/>
      <c r="D1" s="48"/>
      <c r="E1" s="48"/>
    </row>
    <row r="2" spans="1:256" ht="30" customHeight="1">
      <c r="B2" s="308" t="s">
        <v>262</v>
      </c>
      <c r="C2" s="338"/>
      <c r="D2" s="338"/>
      <c r="E2" s="338"/>
    </row>
    <row r="3" spans="1:256" ht="6" customHeight="1">
      <c r="B3" s="318"/>
      <c r="C3" s="337"/>
      <c r="D3" s="337"/>
      <c r="E3" s="337"/>
    </row>
    <row r="4" spans="1:256" ht="30" customHeight="1">
      <c r="B4" s="345" t="s">
        <v>143</v>
      </c>
      <c r="C4" s="345" t="s">
        <v>145</v>
      </c>
      <c r="D4" s="345" t="s">
        <v>147</v>
      </c>
      <c r="E4" s="345" t="s">
        <v>148</v>
      </c>
    </row>
    <row r="5" spans="1:256">
      <c r="B5" s="47"/>
      <c r="C5" s="47"/>
      <c r="D5" s="47"/>
      <c r="E5" s="47"/>
    </row>
    <row r="6" spans="1:256" s="19" customFormat="1">
      <c r="A6" s="99"/>
      <c r="B6" s="44" t="s">
        <v>146</v>
      </c>
      <c r="C6" s="44" t="s">
        <v>167</v>
      </c>
      <c r="D6" s="44" t="s">
        <v>3</v>
      </c>
      <c r="E6" s="84" t="s">
        <v>358</v>
      </c>
      <c r="F6" s="99"/>
      <c r="G6" s="99"/>
      <c r="H6" s="99"/>
      <c r="I6" s="99"/>
      <c r="J6" s="99"/>
      <c r="K6" s="99"/>
      <c r="L6" s="99"/>
      <c r="M6" s="99"/>
      <c r="N6" s="99"/>
      <c r="O6" s="99"/>
      <c r="P6" s="99"/>
      <c r="Q6" s="99"/>
      <c r="R6" s="99"/>
      <c r="S6" s="99"/>
      <c r="T6" s="99"/>
      <c r="U6" s="99"/>
      <c r="V6" s="99"/>
      <c r="W6" s="99"/>
      <c r="X6" s="99"/>
      <c r="Y6" s="99"/>
      <c r="Z6" s="99"/>
    </row>
    <row r="7" spans="1:256">
      <c r="B7" s="14"/>
      <c r="C7" s="14"/>
      <c r="D7" s="14"/>
      <c r="E7" s="14"/>
    </row>
    <row r="8" spans="1:256">
      <c r="B8" s="14" t="s">
        <v>168</v>
      </c>
      <c r="C8" s="14" t="s">
        <v>167</v>
      </c>
      <c r="D8" s="14" t="s">
        <v>263</v>
      </c>
      <c r="E8" s="14" t="s">
        <v>358</v>
      </c>
    </row>
    <row r="9" spans="1:256">
      <c r="B9" s="47"/>
      <c r="C9" s="47"/>
      <c r="D9" s="47"/>
      <c r="E9" s="47"/>
    </row>
    <row r="10" spans="1:256">
      <c r="B10" s="8" t="s">
        <v>171</v>
      </c>
      <c r="C10" s="8" t="s">
        <v>167</v>
      </c>
      <c r="D10" s="8" t="s">
        <v>3</v>
      </c>
      <c r="E10" s="84" t="s">
        <v>358</v>
      </c>
    </row>
    <row r="11" spans="1:256">
      <c r="B11" s="14"/>
      <c r="C11" s="46"/>
      <c r="D11" s="14"/>
      <c r="E11" s="46"/>
    </row>
    <row r="12" spans="1:256">
      <c r="B12" s="10" t="s">
        <v>144</v>
      </c>
      <c r="C12" s="10" t="s">
        <v>167</v>
      </c>
      <c r="D12" s="10" t="s">
        <v>3</v>
      </c>
      <c r="E12" s="10" t="s">
        <v>358</v>
      </c>
    </row>
    <row r="13" spans="1:256">
      <c r="B13" s="48"/>
      <c r="C13" s="48"/>
      <c r="D13" s="48"/>
      <c r="E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c r="B14" s="48" t="s">
        <v>131</v>
      </c>
      <c r="C14" s="48"/>
      <c r="D14" s="48"/>
      <c r="E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c r="B15" s="48" t="s">
        <v>226</v>
      </c>
      <c r="C15" s="48" t="s">
        <v>224</v>
      </c>
      <c r="D15" s="48"/>
      <c r="E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c r="B16" s="48" t="s">
        <v>227</v>
      </c>
      <c r="C16" s="48" t="s">
        <v>225</v>
      </c>
      <c r="D16" s="48"/>
      <c r="E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2:256">
      <c r="B17" s="48"/>
      <c r="C17" s="48"/>
      <c r="D17" s="48"/>
      <c r="E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2:256">
      <c r="B18" s="48"/>
      <c r="C18" s="48"/>
      <c r="D18" s="48"/>
      <c r="E18" s="48"/>
    </row>
    <row r="19" spans="2:256">
      <c r="B19" s="48"/>
      <c r="C19" s="48"/>
      <c r="D19" s="48"/>
      <c r="E19" s="48"/>
    </row>
    <row r="20" spans="2:256">
      <c r="B20" s="48"/>
      <c r="C20" s="48"/>
      <c r="D20" s="48"/>
      <c r="E20" s="48"/>
    </row>
    <row r="21" spans="2:256" ht="15" customHeight="1">
      <c r="B21" s="48"/>
      <c r="C21" s="48"/>
      <c r="D21" s="48"/>
      <c r="E21" s="48"/>
    </row>
    <row r="22" spans="2:256">
      <c r="B22" s="48"/>
      <c r="C22" s="48"/>
      <c r="D22" s="48"/>
      <c r="E22" s="48"/>
    </row>
    <row r="23" spans="2:256" s="48" customFormat="1">
      <c r="AA23"/>
    </row>
    <row r="24" spans="2:256" s="48" customFormat="1">
      <c r="AA24"/>
    </row>
    <row r="25" spans="2:256" s="48" customFormat="1">
      <c r="AA25"/>
    </row>
    <row r="26" spans="2:256" s="48" customFormat="1">
      <c r="AA26"/>
    </row>
    <row r="27" spans="2:256" s="48" customFormat="1">
      <c r="AA27"/>
    </row>
    <row r="28" spans="2:256" s="48" customFormat="1"/>
    <row r="29" spans="2:256" s="48" customFormat="1"/>
    <row r="30" spans="2:256" s="48" customFormat="1"/>
    <row r="31" spans="2:256" s="48" customFormat="1"/>
    <row r="32" spans="2:256" s="48" customFormat="1"/>
    <row r="33" s="48" customFormat="1"/>
    <row r="34" s="48" customFormat="1" ht="15" customHeigh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sheetData>
  <customSheetViews>
    <customSheetView guid="{E00EC0C4-E70A-4D33-A9FE-7CF308F53A5C}" showRuler="0">
      <selection sqref="A1:IV65536"/>
      <pageMargins left="0.75" right="0.75" top="1" bottom="1" header="0.5" footer="0.5"/>
      <headerFooter alignWithMargins="0"/>
    </customSheetView>
  </customSheetViews>
  <phoneticPr fontId="5" type="noConversion"/>
  <printOptions horizontalCentered="1"/>
  <pageMargins left="0.75" right="0.75" top="1" bottom="1" header="0.5" footer="0.5"/>
  <pageSetup scale="82" orientation="portrait" verticalDpi="1200"/>
  <headerFooter alignWithMargins="0">
    <oddFooter>&amp;L&amp;A&amp;C&amp;F&amp;R&amp;D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G156"/>
  <sheetViews>
    <sheetView topLeftCell="A7" zoomScaleNormal="100" workbookViewId="0">
      <selection activeCell="H34" sqref="H34"/>
    </sheetView>
  </sheetViews>
  <sheetFormatPr defaultColWidth="8.7109375" defaultRowHeight="12.75"/>
  <cols>
    <col min="1" max="1" width="3.7109375" style="48" customWidth="1"/>
    <col min="2" max="2" width="26.42578125" customWidth="1"/>
    <col min="3" max="3" width="2" customWidth="1"/>
    <col min="4" max="4" width="11.7109375" style="76" customWidth="1"/>
    <col min="5" max="5" width="1.140625" customWidth="1"/>
    <col min="6" max="6" width="10.7109375" style="27" customWidth="1"/>
    <col min="7" max="7" width="1.42578125" customWidth="1"/>
    <col min="8" max="8" width="10.7109375" style="76" customWidth="1"/>
    <col min="9" max="9" width="1.7109375" customWidth="1"/>
    <col min="10" max="10" width="18.7109375" style="40" customWidth="1"/>
    <col min="11" max="11" width="3.28515625" hidden="1" customWidth="1"/>
    <col min="12" max="33" width="8.7109375" style="48" customWidth="1"/>
  </cols>
  <sheetData>
    <row r="1" spans="1:33" s="48" customFormat="1">
      <c r="D1" s="71"/>
      <c r="F1" s="49"/>
      <c r="H1" s="71"/>
    </row>
    <row r="2" spans="1:33" s="48" customFormat="1" ht="18" customHeight="1">
      <c r="B2" s="485" t="s">
        <v>133</v>
      </c>
      <c r="C2" s="486"/>
      <c r="D2" s="486"/>
      <c r="E2" s="486"/>
      <c r="F2" s="486"/>
      <c r="G2" s="486"/>
      <c r="H2" s="486"/>
      <c r="I2" s="486"/>
      <c r="J2" s="487"/>
    </row>
    <row r="3" spans="1:33" s="48" customFormat="1">
      <c r="B3" s="488" t="s">
        <v>69</v>
      </c>
      <c r="C3" s="489"/>
      <c r="D3" s="489"/>
      <c r="E3" s="489"/>
      <c r="F3" s="489"/>
      <c r="G3" s="489"/>
      <c r="H3" s="489"/>
      <c r="I3" s="489"/>
      <c r="J3" s="490"/>
    </row>
    <row r="4" spans="1:33" s="48" customFormat="1">
      <c r="B4" s="491" t="s">
        <v>113</v>
      </c>
      <c r="C4" s="492"/>
      <c r="D4" s="492"/>
      <c r="E4" s="492"/>
      <c r="F4" s="492"/>
      <c r="G4" s="492"/>
      <c r="H4" s="492"/>
      <c r="I4" s="492"/>
      <c r="J4" s="493"/>
    </row>
    <row r="5" spans="1:33" s="48" customFormat="1">
      <c r="B5" s="494" t="s">
        <v>70</v>
      </c>
      <c r="C5" s="495"/>
      <c r="D5" s="495"/>
      <c r="E5" s="495"/>
      <c r="F5" s="495"/>
      <c r="G5" s="495"/>
      <c r="H5" s="495"/>
      <c r="I5" s="495"/>
      <c r="J5" s="496"/>
    </row>
    <row r="6" spans="1:33" s="48" customFormat="1">
      <c r="B6" s="482" t="s">
        <v>71</v>
      </c>
      <c r="C6" s="483"/>
      <c r="D6" s="483"/>
      <c r="E6" s="483"/>
      <c r="F6" s="483"/>
      <c r="G6" s="483"/>
      <c r="H6" s="483"/>
      <c r="I6" s="483"/>
      <c r="J6" s="484"/>
    </row>
    <row r="7" spans="1:33" s="48" customFormat="1" ht="9.75" customHeight="1">
      <c r="D7" s="71"/>
      <c r="F7" s="49"/>
      <c r="H7" s="71"/>
    </row>
    <row r="8" spans="1:33" ht="22.5" customHeight="1">
      <c r="B8" s="510" t="s">
        <v>179</v>
      </c>
      <c r="C8" s="479"/>
      <c r="D8" s="479"/>
      <c r="E8" s="479"/>
      <c r="F8" s="479"/>
      <c r="G8" s="479"/>
      <c r="H8" s="479"/>
      <c r="I8" s="479"/>
      <c r="J8" s="479"/>
    </row>
    <row r="9" spans="1:33" s="42" customFormat="1" ht="3.75" customHeight="1">
      <c r="A9" s="48"/>
      <c r="B9" s="311"/>
      <c r="C9" s="311"/>
      <c r="D9" s="312"/>
      <c r="E9" s="311"/>
      <c r="F9" s="313"/>
      <c r="G9" s="311"/>
      <c r="H9" s="312"/>
      <c r="I9" s="311"/>
      <c r="J9" s="311"/>
      <c r="K9" s="41"/>
      <c r="L9" s="48"/>
      <c r="M9" s="48"/>
      <c r="N9" s="48"/>
      <c r="O9" s="48"/>
      <c r="P9" s="48"/>
      <c r="Q9" s="48"/>
      <c r="R9" s="48"/>
      <c r="S9" s="48"/>
      <c r="T9" s="48"/>
      <c r="U9" s="48"/>
      <c r="V9" s="48"/>
      <c r="W9" s="48"/>
      <c r="X9" s="48"/>
      <c r="Y9" s="48"/>
      <c r="Z9" s="48"/>
      <c r="AA9" s="48"/>
      <c r="AB9" s="48"/>
      <c r="AC9" s="48"/>
      <c r="AD9" s="48"/>
      <c r="AE9" s="48"/>
      <c r="AF9" s="48"/>
      <c r="AG9" s="48"/>
    </row>
    <row r="10" spans="1:33" ht="15">
      <c r="B10" s="2"/>
      <c r="C10" s="2"/>
      <c r="D10" s="3" t="s">
        <v>105</v>
      </c>
      <c r="E10" s="3"/>
      <c r="F10" s="4"/>
      <c r="G10" s="3"/>
      <c r="H10" s="3" t="s">
        <v>106</v>
      </c>
      <c r="I10" s="3"/>
      <c r="J10" s="5" t="s">
        <v>107</v>
      </c>
    </row>
    <row r="11" spans="1:33" ht="15">
      <c r="B11" s="6" t="s">
        <v>108</v>
      </c>
      <c r="C11" s="2"/>
      <c r="D11" s="3" t="s">
        <v>109</v>
      </c>
      <c r="E11" s="3"/>
      <c r="F11" s="4" t="s">
        <v>110</v>
      </c>
      <c r="G11" s="3"/>
      <c r="H11" s="3" t="s">
        <v>111</v>
      </c>
      <c r="I11" s="3"/>
      <c r="J11" s="5" t="s">
        <v>172</v>
      </c>
    </row>
    <row r="12" spans="1:33" ht="5.25" customHeight="1">
      <c r="B12" s="7"/>
      <c r="C12" s="8"/>
      <c r="D12" s="7"/>
      <c r="E12" s="8"/>
      <c r="F12" s="9"/>
      <c r="G12" s="8"/>
      <c r="H12" s="7"/>
      <c r="I12" s="8"/>
      <c r="J12" s="10"/>
      <c r="K12" s="1"/>
    </row>
    <row r="13" spans="1:33">
      <c r="B13" s="11" t="s">
        <v>114</v>
      </c>
      <c r="C13" s="12"/>
      <c r="D13" s="53"/>
      <c r="E13" s="12"/>
      <c r="F13" s="13"/>
      <c r="G13" s="12"/>
      <c r="H13" s="53"/>
      <c r="I13" s="12"/>
      <c r="J13" s="14"/>
    </row>
    <row r="14" spans="1:33">
      <c r="B14" s="15" t="s">
        <v>162</v>
      </c>
      <c r="C14" s="16"/>
      <c r="D14" s="346">
        <f>Summary!$E$15</f>
        <v>55</v>
      </c>
      <c r="E14" s="16"/>
      <c r="F14" s="17" t="s">
        <v>163</v>
      </c>
      <c r="G14" s="16"/>
      <c r="H14" s="347">
        <f>Summary!$G$15</f>
        <v>5.08</v>
      </c>
      <c r="I14" s="16"/>
      <c r="J14" s="18">
        <f>D14*H14</f>
        <v>279.39999999999998</v>
      </c>
      <c r="K14" s="19"/>
      <c r="M14" s="86"/>
    </row>
    <row r="15" spans="1:33">
      <c r="B15" s="16"/>
      <c r="C15" s="16"/>
      <c r="D15" s="80"/>
      <c r="E15" s="16"/>
      <c r="F15" s="20"/>
      <c r="G15" s="16"/>
      <c r="H15" s="82"/>
      <c r="I15" s="16"/>
      <c r="J15" s="18"/>
      <c r="K15" s="19"/>
      <c r="R15"/>
    </row>
    <row r="16" spans="1:33">
      <c r="B16" s="11" t="s">
        <v>98</v>
      </c>
      <c r="C16" s="12"/>
      <c r="D16" s="53"/>
      <c r="E16" s="12"/>
      <c r="F16" s="13"/>
      <c r="G16" s="12"/>
      <c r="H16" s="78"/>
      <c r="I16" s="12"/>
      <c r="J16" s="21"/>
    </row>
    <row r="17" spans="2:13" ht="5.0999999999999996" customHeight="1">
      <c r="B17" s="12"/>
      <c r="C17" s="12"/>
      <c r="D17" s="53"/>
      <c r="E17" s="12"/>
      <c r="F17" s="13"/>
      <c r="G17" s="12"/>
      <c r="H17" s="78"/>
      <c r="I17" s="12"/>
      <c r="J17" s="21"/>
    </row>
    <row r="18" spans="2:13">
      <c r="B18" s="12" t="s">
        <v>115</v>
      </c>
      <c r="C18" s="12"/>
      <c r="D18" s="53"/>
      <c r="E18" s="12"/>
      <c r="F18" s="13"/>
      <c r="G18" s="12"/>
      <c r="H18" s="78"/>
      <c r="I18" s="12"/>
      <c r="J18" s="22">
        <f>SUM(J19:J20)</f>
        <v>12</v>
      </c>
    </row>
    <row r="19" spans="2:13">
      <c r="B19" s="23" t="s">
        <v>164</v>
      </c>
      <c r="C19" s="12"/>
      <c r="D19" s="314">
        <v>80</v>
      </c>
      <c r="E19" s="12"/>
      <c r="F19" s="24" t="s">
        <v>198</v>
      </c>
      <c r="G19" s="12"/>
      <c r="H19" s="315">
        <f>+WheatSeed</f>
        <v>0.15</v>
      </c>
      <c r="I19" s="12"/>
      <c r="J19" s="21">
        <f>D19*H19</f>
        <v>12</v>
      </c>
    </row>
    <row r="20" spans="2:13">
      <c r="B20" s="23"/>
      <c r="C20" s="12"/>
      <c r="D20" s="314"/>
      <c r="E20" s="12"/>
      <c r="F20" s="24"/>
      <c r="G20" s="12"/>
      <c r="H20" s="315"/>
      <c r="I20" s="12"/>
      <c r="J20" s="21">
        <f>D20*H20</f>
        <v>0</v>
      </c>
    </row>
    <row r="21" spans="2:13" ht="5.0999999999999996" customHeight="1">
      <c r="B21" s="12"/>
      <c r="C21" s="12"/>
      <c r="D21" s="53"/>
      <c r="E21" s="12"/>
      <c r="F21" s="13"/>
      <c r="G21" s="12"/>
      <c r="H21" s="78"/>
      <c r="I21" s="12"/>
      <c r="J21" s="21"/>
    </row>
    <row r="22" spans="2:13">
      <c r="B22" s="12" t="s">
        <v>116</v>
      </c>
      <c r="C22" s="12"/>
      <c r="D22" s="53"/>
      <c r="E22" s="12"/>
      <c r="F22" s="13"/>
      <c r="G22" s="12"/>
      <c r="H22" s="78"/>
      <c r="I22" s="12"/>
      <c r="J22" s="22">
        <f>SUM(J23:J26)</f>
        <v>40.44</v>
      </c>
      <c r="M22" s="50"/>
    </row>
    <row r="23" spans="2:13">
      <c r="B23" s="23" t="s">
        <v>11</v>
      </c>
      <c r="C23" s="12"/>
      <c r="D23" s="314">
        <v>60</v>
      </c>
      <c r="E23" s="12"/>
      <c r="F23" s="24" t="s">
        <v>198</v>
      </c>
      <c r="G23" s="12"/>
      <c r="H23" s="315">
        <f>+Nitrogen</f>
        <v>0.41799999999999998</v>
      </c>
      <c r="I23" s="12"/>
      <c r="J23" s="25">
        <f>D23*H23</f>
        <v>25.08</v>
      </c>
    </row>
    <row r="24" spans="2:13">
      <c r="B24" s="23" t="s">
        <v>12</v>
      </c>
      <c r="C24" s="12"/>
      <c r="D24" s="314">
        <v>10</v>
      </c>
      <c r="E24" s="12"/>
      <c r="F24" s="24" t="s">
        <v>198</v>
      </c>
      <c r="G24" s="12"/>
      <c r="H24" s="315">
        <f>+Phosphorous</f>
        <v>1.26</v>
      </c>
      <c r="I24" s="12"/>
      <c r="J24" s="25">
        <f>D24*H24</f>
        <v>12.6</v>
      </c>
    </row>
    <row r="25" spans="2:13">
      <c r="B25" s="23" t="s">
        <v>91</v>
      </c>
      <c r="C25" s="12"/>
      <c r="D25" s="314">
        <v>12</v>
      </c>
      <c r="E25" s="12">
        <v>5</v>
      </c>
      <c r="F25" s="24" t="s">
        <v>198</v>
      </c>
      <c r="G25" s="12"/>
      <c r="H25" s="315">
        <f>+Sulfur</f>
        <v>0.23</v>
      </c>
      <c r="I25" s="12"/>
      <c r="J25" s="21">
        <f>D25*H25</f>
        <v>2.7600000000000002</v>
      </c>
    </row>
    <row r="26" spans="2:13">
      <c r="B26" s="23"/>
      <c r="C26" s="12"/>
      <c r="D26" s="314"/>
      <c r="E26" s="12"/>
      <c r="F26" s="24"/>
      <c r="G26" s="12"/>
      <c r="H26" s="315"/>
      <c r="I26" s="12"/>
      <c r="J26" s="21">
        <f>D26*H26</f>
        <v>0</v>
      </c>
    </row>
    <row r="27" spans="2:13" ht="5.0999999999999996" customHeight="1">
      <c r="B27" s="12"/>
      <c r="C27" s="12"/>
      <c r="D27" s="53"/>
      <c r="E27" s="12"/>
      <c r="F27" s="13"/>
      <c r="G27" s="12"/>
      <c r="H27" s="78"/>
      <c r="I27" s="12"/>
      <c r="J27" s="25"/>
    </row>
    <row r="28" spans="2:13">
      <c r="B28" s="12" t="s">
        <v>117</v>
      </c>
      <c r="C28" s="12"/>
      <c r="D28" s="53"/>
      <c r="E28" s="12"/>
      <c r="F28" s="13"/>
      <c r="G28" s="12"/>
      <c r="H28" s="78"/>
      <c r="I28" s="12"/>
      <c r="J28" s="26">
        <f>SUM(J29:J31)</f>
        <v>9.14</v>
      </c>
    </row>
    <row r="29" spans="2:13">
      <c r="B29" s="23" t="s">
        <v>88</v>
      </c>
      <c r="C29" s="12"/>
      <c r="D29" s="343">
        <f>2*10</f>
        <v>20</v>
      </c>
      <c r="E29" s="12"/>
      <c r="F29" s="24" t="s">
        <v>200</v>
      </c>
      <c r="G29" s="12"/>
      <c r="H29" s="315">
        <f>+DPesticide</f>
        <v>0.16</v>
      </c>
      <c r="I29" s="12"/>
      <c r="J29" s="25">
        <f>D29*H29</f>
        <v>3.2</v>
      </c>
    </row>
    <row r="30" spans="2:13">
      <c r="B30" s="23" t="s">
        <v>89</v>
      </c>
      <c r="C30" s="12"/>
      <c r="D30" s="343">
        <v>0.33</v>
      </c>
      <c r="E30" s="12"/>
      <c r="F30" s="24" t="s">
        <v>200</v>
      </c>
      <c r="G30" s="12"/>
      <c r="H30" s="315">
        <f>+Maverick</f>
        <v>18</v>
      </c>
      <c r="I30" s="12"/>
      <c r="J30" s="25">
        <f>D30*H30</f>
        <v>5.94</v>
      </c>
    </row>
    <row r="31" spans="2:13">
      <c r="B31" s="23"/>
      <c r="C31" s="12"/>
      <c r="D31" s="343"/>
      <c r="E31" s="12"/>
      <c r="F31" s="24"/>
      <c r="G31" s="12"/>
      <c r="H31" s="315"/>
      <c r="I31" s="12"/>
      <c r="J31" s="25">
        <f>D31*H31</f>
        <v>0</v>
      </c>
    </row>
    <row r="32" spans="2:13" ht="5.25" customHeight="1">
      <c r="B32" s="12"/>
      <c r="C32" s="12"/>
      <c r="D32" s="73"/>
      <c r="E32" s="12"/>
      <c r="F32" s="13"/>
      <c r="G32" s="12"/>
      <c r="H32" s="78"/>
      <c r="I32" s="12"/>
      <c r="J32" s="25"/>
    </row>
    <row r="33" spans="2:18">
      <c r="B33" s="12" t="s">
        <v>65</v>
      </c>
      <c r="C33" s="12"/>
      <c r="D33" s="100"/>
      <c r="E33" s="12"/>
      <c r="F33" s="13"/>
      <c r="G33" s="12"/>
      <c r="H33" s="78"/>
      <c r="I33" s="12"/>
      <c r="J33" s="26">
        <f>SUM(J34:J38)</f>
        <v>22.049100000000003</v>
      </c>
    </row>
    <row r="34" spans="2:18">
      <c r="B34" s="40" t="s">
        <v>140</v>
      </c>
      <c r="C34" s="12"/>
      <c r="D34" s="395">
        <f>'Machinery Cost'!$K$108</f>
        <v>2.2796000000000003</v>
      </c>
      <c r="E34" s="12"/>
      <c r="F34" s="24" t="s">
        <v>142</v>
      </c>
      <c r="G34" s="12"/>
      <c r="H34" s="315">
        <f>+Diesel</f>
        <v>2.25</v>
      </c>
      <c r="I34" s="12"/>
      <c r="J34" s="25">
        <f>D34*H34</f>
        <v>5.1291000000000011</v>
      </c>
      <c r="Q34" s="102"/>
      <c r="R34" s="101"/>
    </row>
    <row r="35" spans="2:18">
      <c r="B35" s="40" t="s">
        <v>141</v>
      </c>
      <c r="C35" s="12"/>
      <c r="D35" s="242">
        <v>1</v>
      </c>
      <c r="E35" s="12"/>
      <c r="F35" s="24" t="s">
        <v>199</v>
      </c>
      <c r="G35" s="12"/>
      <c r="H35" s="316">
        <f>'Machinery Cost'!$L$108</f>
        <v>0.8660000000000001</v>
      </c>
      <c r="I35" s="12"/>
      <c r="J35" s="25">
        <f>D35*H35</f>
        <v>0.8660000000000001</v>
      </c>
      <c r="L35" s="55"/>
      <c r="M35" s="55"/>
      <c r="N35" s="55"/>
      <c r="O35" s="55"/>
      <c r="P35" s="55"/>
      <c r="Q35" s="102"/>
      <c r="R35" s="101"/>
    </row>
    <row r="36" spans="2:18">
      <c r="B36" s="40" t="s">
        <v>180</v>
      </c>
      <c r="C36" s="12"/>
      <c r="D36" s="242">
        <v>1</v>
      </c>
      <c r="E36" s="12"/>
      <c r="F36" s="24" t="s">
        <v>199</v>
      </c>
      <c r="G36" s="12"/>
      <c r="H36" s="316">
        <f>'Machinery Cost'!$G$108</f>
        <v>7.2700000000000014</v>
      </c>
      <c r="I36" s="12"/>
      <c r="J36" s="25">
        <f>D36*H36</f>
        <v>7.2700000000000014</v>
      </c>
      <c r="Q36" s="102"/>
      <c r="R36" s="101"/>
    </row>
    <row r="37" spans="2:18">
      <c r="B37" s="40" t="s">
        <v>184</v>
      </c>
      <c r="C37" s="12"/>
      <c r="D37" s="395">
        <f>'Machinery Cost'!$I$108</f>
        <v>0.43920000000000003</v>
      </c>
      <c r="E37" s="12"/>
      <c r="F37" s="24" t="s">
        <v>199</v>
      </c>
      <c r="G37" s="12"/>
      <c r="H37" s="315">
        <f>+HourlyMachineLabor</f>
        <v>20</v>
      </c>
      <c r="I37" s="12"/>
      <c r="J37" s="25">
        <f>D37*H37</f>
        <v>8.7840000000000007</v>
      </c>
      <c r="Q37" s="102"/>
      <c r="R37" s="101"/>
    </row>
    <row r="38" spans="2:18">
      <c r="B38" s="40"/>
      <c r="C38" s="12"/>
      <c r="D38" s="72"/>
      <c r="E38" s="12"/>
      <c r="F38" s="24"/>
      <c r="G38" s="12"/>
      <c r="H38" s="244"/>
      <c r="I38" s="12"/>
      <c r="J38" s="25">
        <f>D38*H38</f>
        <v>0</v>
      </c>
      <c r="Q38" s="102"/>
      <c r="R38" s="101"/>
    </row>
    <row r="39" spans="2:18" ht="5.25" customHeight="1">
      <c r="B39" s="12"/>
      <c r="C39" s="12"/>
      <c r="D39" s="73"/>
      <c r="E39" s="12"/>
      <c r="F39" s="13"/>
      <c r="G39" s="12"/>
      <c r="H39" s="78"/>
      <c r="I39" s="12"/>
      <c r="J39" s="25"/>
    </row>
    <row r="40" spans="2:18">
      <c r="B40" s="12" t="s">
        <v>118</v>
      </c>
      <c r="C40" s="12"/>
      <c r="D40" s="100"/>
      <c r="E40" s="12"/>
      <c r="F40" s="13"/>
      <c r="G40" s="12"/>
      <c r="H40" s="78"/>
      <c r="I40" s="12"/>
      <c r="J40" s="26">
        <f>SUM(J41:J43)</f>
        <v>1</v>
      </c>
    </row>
    <row r="41" spans="2:18">
      <c r="B41" s="23" t="s">
        <v>76</v>
      </c>
      <c r="C41" s="12"/>
      <c r="D41" s="314"/>
      <c r="E41" s="12"/>
      <c r="F41" s="24" t="s">
        <v>199</v>
      </c>
      <c r="G41" s="12"/>
      <c r="H41" s="315">
        <f>+RentalSprayer</f>
        <v>1.75</v>
      </c>
      <c r="I41" s="12"/>
      <c r="J41" s="25">
        <f>D41*H41</f>
        <v>0</v>
      </c>
    </row>
    <row r="42" spans="2:18">
      <c r="B42" s="23" t="s">
        <v>220</v>
      </c>
      <c r="C42" s="12"/>
      <c r="D42" s="314">
        <v>1</v>
      </c>
      <c r="E42" s="12"/>
      <c r="F42" s="24" t="s">
        <v>199</v>
      </c>
      <c r="G42" s="12"/>
      <c r="H42" s="315">
        <f>+FertilizerApplicator</f>
        <v>1</v>
      </c>
      <c r="I42" s="12"/>
      <c r="J42" s="25">
        <f>D42*H42</f>
        <v>1</v>
      </c>
    </row>
    <row r="43" spans="2:18">
      <c r="B43" s="23"/>
      <c r="C43" s="12"/>
      <c r="D43" s="314"/>
      <c r="E43" s="12"/>
      <c r="F43" s="24"/>
      <c r="G43" s="12"/>
      <c r="H43" s="315"/>
      <c r="I43" s="12"/>
      <c r="J43" s="25">
        <f>D43*H43</f>
        <v>0</v>
      </c>
      <c r="Q43" s="101"/>
      <c r="R43" s="101"/>
    </row>
    <row r="44" spans="2:18" ht="5.25" customHeight="1">
      <c r="B44" s="12"/>
      <c r="C44" s="12"/>
      <c r="D44" s="53"/>
      <c r="E44" s="12"/>
      <c r="F44" s="13"/>
      <c r="G44" s="12"/>
      <c r="H44" s="78"/>
      <c r="I44" s="12"/>
      <c r="J44" s="25"/>
    </row>
    <row r="45" spans="2:18">
      <c r="B45" s="12" t="s">
        <v>119</v>
      </c>
      <c r="C45" s="12"/>
      <c r="D45" s="53"/>
      <c r="E45" s="12"/>
      <c r="F45" s="13"/>
      <c r="G45" s="12"/>
      <c r="H45" s="78"/>
      <c r="I45" s="12"/>
      <c r="J45" s="26">
        <f>SUM(J46:J48)</f>
        <v>4.5</v>
      </c>
    </row>
    <row r="46" spans="2:18">
      <c r="B46" s="23" t="s">
        <v>201</v>
      </c>
      <c r="C46" s="12"/>
      <c r="D46" s="72">
        <v>1</v>
      </c>
      <c r="E46" s="12"/>
      <c r="F46" s="24" t="s">
        <v>199</v>
      </c>
      <c r="G46" s="12"/>
      <c r="H46" s="315">
        <v>4.5</v>
      </c>
      <c r="I46" s="12"/>
      <c r="J46" s="25">
        <f>D46*H46</f>
        <v>4.5</v>
      </c>
    </row>
    <row r="47" spans="2:18">
      <c r="B47" s="40" t="s">
        <v>183</v>
      </c>
      <c r="C47" s="12"/>
      <c r="D47" s="72"/>
      <c r="E47" s="12"/>
      <c r="F47" s="24"/>
      <c r="G47" s="12"/>
      <c r="H47" s="79"/>
      <c r="I47" s="12"/>
      <c r="J47" s="25">
        <f>D47*H47</f>
        <v>0</v>
      </c>
      <c r="Q47" s="102"/>
      <c r="R47" s="101"/>
    </row>
    <row r="48" spans="2:18">
      <c r="B48" s="40"/>
      <c r="C48" s="12"/>
      <c r="D48" s="72"/>
      <c r="E48" s="12"/>
      <c r="F48" s="24"/>
      <c r="G48" s="12"/>
      <c r="H48" s="79"/>
      <c r="I48" s="12"/>
      <c r="J48" s="25">
        <f>D48*H48</f>
        <v>0</v>
      </c>
      <c r="Q48" s="102"/>
      <c r="R48" s="101"/>
    </row>
    <row r="49" spans="1:33" ht="5.0999999999999996" customHeight="1">
      <c r="B49" s="12"/>
      <c r="C49" s="12"/>
      <c r="D49" s="53"/>
      <c r="E49" s="12"/>
      <c r="F49" s="13"/>
      <c r="G49" s="12"/>
      <c r="H49" s="53"/>
      <c r="I49" s="12"/>
      <c r="J49" s="25"/>
      <c r="Q49" s="102"/>
      <c r="R49" s="101"/>
    </row>
    <row r="50" spans="1:33" ht="14.25">
      <c r="B50" s="12" t="s">
        <v>66</v>
      </c>
      <c r="C50" s="12"/>
      <c r="D50" s="53"/>
      <c r="E50" s="12"/>
      <c r="F50" s="13"/>
      <c r="G50" s="12"/>
      <c r="H50" s="53"/>
      <c r="I50" s="12"/>
      <c r="J50" s="25">
        <f>(J18+J22+J28+J33+J40+J45)*0.05</f>
        <v>4.4564550000000001</v>
      </c>
      <c r="Q50" s="102"/>
      <c r="R50" s="101"/>
    </row>
    <row r="51" spans="1:33" ht="14.25">
      <c r="B51" s="12" t="s">
        <v>67</v>
      </c>
      <c r="C51" s="12"/>
      <c r="D51" s="53"/>
      <c r="E51" s="12"/>
      <c r="F51" s="13"/>
      <c r="G51" s="12"/>
      <c r="H51" s="53"/>
      <c r="I51" s="12"/>
      <c r="J51" s="25">
        <f>+(J18+J22+J28+J33+J40+J45)*0.09*0.75</f>
        <v>6.0162142499999991</v>
      </c>
      <c r="L51" s="55"/>
      <c r="M51" s="55"/>
      <c r="N51" s="55"/>
      <c r="O51" s="55"/>
      <c r="P51" s="55"/>
      <c r="Q51" s="102"/>
      <c r="R51" s="101"/>
    </row>
    <row r="52" spans="1:33" ht="5.25" customHeight="1">
      <c r="B52" s="12"/>
      <c r="C52" s="12"/>
      <c r="D52" s="53"/>
      <c r="E52" s="12"/>
      <c r="F52" s="13"/>
      <c r="G52" s="12"/>
      <c r="H52" s="53"/>
      <c r="I52" s="12"/>
      <c r="J52" s="25"/>
      <c r="Q52" s="102"/>
      <c r="R52" s="101"/>
    </row>
    <row r="53" spans="1:33" s="56" customFormat="1">
      <c r="A53" s="55"/>
      <c r="B53" s="65" t="s">
        <v>99</v>
      </c>
      <c r="C53" s="65"/>
      <c r="D53" s="77"/>
      <c r="E53" s="65"/>
      <c r="F53" s="66"/>
      <c r="G53" s="65"/>
      <c r="H53" s="77"/>
      <c r="I53" s="65"/>
      <c r="J53" s="67">
        <f>SUM(J18:J51)-(J18+J22+J28+J33+J40+J45)</f>
        <v>99.601769250000018</v>
      </c>
      <c r="L53" s="48"/>
      <c r="M53" s="50"/>
      <c r="N53" s="48"/>
      <c r="O53" s="48"/>
      <c r="P53" s="48"/>
      <c r="Q53" s="102"/>
      <c r="R53" s="101"/>
      <c r="S53" s="55"/>
      <c r="T53" s="55"/>
      <c r="U53" s="55"/>
      <c r="V53" s="55"/>
      <c r="W53" s="55"/>
      <c r="X53" s="55"/>
      <c r="Y53" s="55"/>
      <c r="Z53" s="55"/>
      <c r="AA53" s="55"/>
      <c r="AB53" s="55"/>
      <c r="AC53" s="55"/>
      <c r="AD53" s="55"/>
      <c r="AE53" s="55"/>
      <c r="AF53" s="55"/>
      <c r="AG53" s="55"/>
    </row>
    <row r="54" spans="1:33">
      <c r="B54" s="12" t="s">
        <v>103</v>
      </c>
      <c r="C54" s="12"/>
      <c r="D54" s="53"/>
      <c r="E54" s="12"/>
      <c r="F54" s="13"/>
      <c r="G54" s="12"/>
      <c r="H54" s="53"/>
      <c r="I54" s="12"/>
      <c r="J54" s="25">
        <f>J53/D14</f>
        <v>1.8109412590909095</v>
      </c>
      <c r="Q54" s="102"/>
      <c r="R54" s="101"/>
    </row>
    <row r="55" spans="1:33" ht="5.25" customHeight="1">
      <c r="B55" s="12"/>
      <c r="C55" s="12"/>
      <c r="D55" s="53"/>
      <c r="E55" s="12"/>
      <c r="F55" s="13"/>
      <c r="G55" s="12"/>
      <c r="H55" s="53"/>
      <c r="I55" s="12"/>
      <c r="J55" s="25"/>
      <c r="Q55" s="102"/>
      <c r="R55" s="101"/>
    </row>
    <row r="56" spans="1:33" s="56" customFormat="1">
      <c r="A56" s="55"/>
      <c r="B56" s="61" t="s">
        <v>104</v>
      </c>
      <c r="C56" s="61"/>
      <c r="D56" s="74"/>
      <c r="E56" s="61"/>
      <c r="F56" s="62"/>
      <c r="G56" s="61"/>
      <c r="H56" s="74"/>
      <c r="I56" s="61"/>
      <c r="J56" s="63">
        <f>J14-J53</f>
        <v>179.79823074999996</v>
      </c>
      <c r="L56" s="55"/>
      <c r="M56" s="68"/>
      <c r="N56" s="55"/>
      <c r="O56" s="55"/>
      <c r="P56" s="55"/>
      <c r="Q56" s="227"/>
      <c r="R56" s="228"/>
      <c r="S56" s="55"/>
      <c r="T56" s="55"/>
      <c r="U56" s="55"/>
      <c r="V56" s="55"/>
      <c r="W56" s="55"/>
      <c r="X56" s="55"/>
      <c r="Y56" s="55"/>
      <c r="Z56" s="55"/>
      <c r="AA56" s="55"/>
      <c r="AB56" s="55"/>
      <c r="AC56" s="55"/>
      <c r="AD56" s="55"/>
      <c r="AE56" s="55"/>
      <c r="AF56" s="55"/>
      <c r="AG56" s="55"/>
    </row>
    <row r="57" spans="1:33" ht="5.25" customHeight="1">
      <c r="B57" s="12"/>
      <c r="C57" s="12"/>
      <c r="D57" s="53"/>
      <c r="E57" s="12"/>
      <c r="F57" s="13"/>
      <c r="G57" s="12"/>
      <c r="H57" s="53"/>
      <c r="I57" s="12"/>
      <c r="J57" s="25"/>
    </row>
    <row r="58" spans="1:33" ht="20.25" customHeight="1">
      <c r="B58" s="11" t="s">
        <v>100</v>
      </c>
      <c r="C58" s="12"/>
      <c r="D58" s="53"/>
      <c r="E58" s="12"/>
      <c r="F58" s="13"/>
      <c r="G58" s="12"/>
      <c r="H58" s="53"/>
      <c r="I58" s="12"/>
      <c r="J58" s="25"/>
    </row>
    <row r="59" spans="1:33">
      <c r="B59" s="87" t="s">
        <v>138</v>
      </c>
      <c r="C59" s="12"/>
      <c r="D59" s="12"/>
      <c r="E59" s="12"/>
      <c r="F59" s="13"/>
      <c r="G59" s="12"/>
      <c r="H59" s="53"/>
      <c r="I59" s="12"/>
      <c r="J59" s="335">
        <f>'Machinery Cost'!$D$108</f>
        <v>7.1049999999999986</v>
      </c>
    </row>
    <row r="60" spans="1:33">
      <c r="B60" s="87" t="s">
        <v>139</v>
      </c>
      <c r="C60" s="12"/>
      <c r="D60" s="12"/>
      <c r="E60" s="12"/>
      <c r="F60" s="13"/>
      <c r="G60" s="12"/>
      <c r="H60" s="53"/>
      <c r="I60" s="12"/>
      <c r="J60" s="335">
        <f>'Machinery Cost'!$E$108</f>
        <v>3.9649999999999999</v>
      </c>
    </row>
    <row r="61" spans="1:33">
      <c r="B61" s="87" t="s">
        <v>299</v>
      </c>
      <c r="D61"/>
      <c r="E61" s="12"/>
      <c r="F61" s="13"/>
      <c r="G61" s="12"/>
      <c r="H61" s="53"/>
      <c r="I61" s="12"/>
      <c r="J61" s="335">
        <f>'Machinery Cost'!$F$108</f>
        <v>1.7209999999999999</v>
      </c>
    </row>
    <row r="62" spans="1:33" ht="14.25">
      <c r="B62" s="87" t="s">
        <v>82</v>
      </c>
      <c r="C62" s="12"/>
      <c r="D62" s="12"/>
      <c r="E62" s="12"/>
      <c r="F62" s="13"/>
      <c r="G62" s="12"/>
      <c r="H62" s="53"/>
      <c r="I62" s="12"/>
      <c r="J62" s="25">
        <f>'Chem Fallow'!$J$55*1.09</f>
        <v>83.043416072500008</v>
      </c>
    </row>
    <row r="63" spans="1:33">
      <c r="B63" s="23" t="s">
        <v>77</v>
      </c>
      <c r="C63" s="12"/>
      <c r="D63" s="72">
        <v>1</v>
      </c>
      <c r="E63" s="12"/>
      <c r="F63" s="24" t="s">
        <v>199</v>
      </c>
      <c r="G63" s="12"/>
      <c r="H63" s="151">
        <f>($D$14*$H$14)*$D$65-('Chem Fallow'!J15+'Chem Fallow'!J23+J28+J22+H46)*$D$65-$J$69</f>
        <v>71.45559999999999</v>
      </c>
      <c r="I63" s="12"/>
      <c r="J63" s="25">
        <f>+H63</f>
        <v>71.45559999999999</v>
      </c>
    </row>
    <row r="64" spans="1:33" ht="12.75" customHeight="1">
      <c r="B64" s="12" t="s">
        <v>78</v>
      </c>
      <c r="C64" s="12"/>
      <c r="D64" s="53"/>
      <c r="E64" s="12"/>
      <c r="F64" s="13"/>
      <c r="G64" s="12"/>
      <c r="H64" s="79"/>
      <c r="I64" s="12"/>
      <c r="J64" s="25"/>
    </row>
    <row r="65" spans="1:33" ht="12.75" customHeight="1">
      <c r="B65" s="12" t="s">
        <v>79</v>
      </c>
      <c r="C65" s="12"/>
      <c r="D65" s="364">
        <f>OwnShare</f>
        <v>0.33</v>
      </c>
      <c r="E65" s="12"/>
      <c r="F65" s="13"/>
      <c r="G65" s="12"/>
      <c r="H65" s="78"/>
      <c r="I65" s="12"/>
      <c r="J65" s="25"/>
    </row>
    <row r="66" spans="1:33" ht="12.75" customHeight="1">
      <c r="B66" s="12" t="s">
        <v>151</v>
      </c>
      <c r="C66" s="12"/>
      <c r="D66" s="364">
        <f>OpShare</f>
        <v>0.67</v>
      </c>
      <c r="E66" s="12"/>
      <c r="F66" s="13"/>
      <c r="G66" s="12"/>
      <c r="H66" s="78"/>
      <c r="I66" s="12"/>
      <c r="J66" s="25"/>
    </row>
    <row r="67" spans="1:33">
      <c r="B67" s="85"/>
      <c r="C67" s="85"/>
      <c r="D67" s="85"/>
      <c r="E67" s="85"/>
      <c r="F67" s="85"/>
      <c r="G67" s="12"/>
      <c r="H67" s="53"/>
      <c r="I67" s="12"/>
      <c r="J67" s="25"/>
    </row>
    <row r="68" spans="1:33">
      <c r="B68" s="64" t="s">
        <v>286</v>
      </c>
      <c r="C68" s="12"/>
      <c r="D68" s="53"/>
      <c r="E68" s="12"/>
      <c r="F68" s="13"/>
      <c r="G68" s="12"/>
      <c r="H68" s="53"/>
      <c r="I68" s="12"/>
      <c r="J68" s="336">
        <f>+cashrent</f>
        <v>0</v>
      </c>
    </row>
    <row r="69" spans="1:33">
      <c r="B69" s="64" t="s">
        <v>153</v>
      </c>
      <c r="C69" s="12"/>
      <c r="D69" s="53"/>
      <c r="E69" s="12"/>
      <c r="F69" s="13"/>
      <c r="G69" s="12"/>
      <c r="H69" s="53"/>
      <c r="I69" s="12"/>
      <c r="J69" s="336">
        <f>landtax</f>
        <v>2.9</v>
      </c>
    </row>
    <row r="70" spans="1:33" ht="5.25" customHeight="1">
      <c r="B70" s="12"/>
      <c r="C70" s="12"/>
      <c r="D70" s="53"/>
      <c r="E70" s="12"/>
      <c r="F70" s="13"/>
      <c r="G70" s="12"/>
      <c r="H70" s="53"/>
      <c r="I70" s="12"/>
      <c r="J70" s="25"/>
    </row>
    <row r="71" spans="1:33">
      <c r="B71" s="65" t="s">
        <v>101</v>
      </c>
      <c r="C71" s="65"/>
      <c r="D71" s="77"/>
      <c r="E71" s="65"/>
      <c r="F71" s="66"/>
      <c r="G71" s="65"/>
      <c r="H71" s="77"/>
      <c r="I71" s="65"/>
      <c r="J71" s="67">
        <f>SUM(J58:J69)</f>
        <v>170.19001607250001</v>
      </c>
    </row>
    <row r="72" spans="1:33">
      <c r="B72" s="12" t="s">
        <v>102</v>
      </c>
      <c r="C72" s="12"/>
      <c r="D72" s="53"/>
      <c r="E72" s="12"/>
      <c r="F72" s="13"/>
      <c r="G72" s="12"/>
      <c r="H72" s="53"/>
      <c r="I72" s="12"/>
      <c r="J72" s="25">
        <f>J71/D14</f>
        <v>3.0943639285909095</v>
      </c>
    </row>
    <row r="73" spans="1:33">
      <c r="B73" s="12"/>
      <c r="C73" s="12"/>
      <c r="D73" s="53"/>
      <c r="E73" s="12"/>
      <c r="F73" s="13"/>
      <c r="G73" s="12"/>
      <c r="H73" s="53"/>
      <c r="I73" s="12"/>
      <c r="J73" s="25"/>
    </row>
    <row r="74" spans="1:33">
      <c r="B74" s="65" t="s">
        <v>186</v>
      </c>
      <c r="C74" s="65"/>
      <c r="D74" s="77"/>
      <c r="E74" s="65"/>
      <c r="F74" s="66"/>
      <c r="G74" s="65"/>
      <c r="H74" s="77"/>
      <c r="I74" s="65"/>
      <c r="J74" s="67">
        <f>J53+J71</f>
        <v>269.7917853225</v>
      </c>
    </row>
    <row r="75" spans="1:33" s="59" customFormat="1">
      <c r="A75" s="69"/>
      <c r="B75" s="104" t="s">
        <v>187</v>
      </c>
      <c r="C75" s="104"/>
      <c r="D75" s="105"/>
      <c r="E75" s="104"/>
      <c r="F75" s="106"/>
      <c r="G75" s="104"/>
      <c r="H75" s="105"/>
      <c r="I75" s="104"/>
      <c r="J75" s="107">
        <f>J74/D14</f>
        <v>4.9053051876818179</v>
      </c>
      <c r="L75" s="69"/>
      <c r="M75" s="69"/>
      <c r="N75" s="69"/>
      <c r="O75" s="69"/>
      <c r="P75" s="69"/>
      <c r="Q75" s="69"/>
      <c r="R75" s="69"/>
      <c r="S75" s="69"/>
      <c r="T75" s="69"/>
      <c r="U75" s="69"/>
      <c r="V75" s="69"/>
      <c r="W75" s="69"/>
      <c r="X75" s="69"/>
      <c r="Y75" s="69"/>
      <c r="Z75" s="69"/>
      <c r="AA75" s="69"/>
      <c r="AB75" s="69"/>
      <c r="AC75" s="69"/>
      <c r="AD75" s="69"/>
      <c r="AE75" s="69"/>
      <c r="AF75" s="69"/>
      <c r="AG75" s="69"/>
    </row>
    <row r="76" spans="1:33">
      <c r="B76" s="12"/>
      <c r="C76" s="12"/>
      <c r="D76" s="53"/>
      <c r="E76" s="12"/>
      <c r="F76" s="13"/>
      <c r="G76" s="12"/>
      <c r="H76" s="53"/>
      <c r="I76" s="12"/>
      <c r="J76" s="25"/>
    </row>
    <row r="77" spans="1:33" s="56" customFormat="1">
      <c r="A77" s="55"/>
      <c r="B77" s="65" t="s">
        <v>188</v>
      </c>
      <c r="C77" s="65"/>
      <c r="D77" s="77"/>
      <c r="E77" s="65"/>
      <c r="F77" s="66"/>
      <c r="G77" s="65"/>
      <c r="H77" s="77"/>
      <c r="I77" s="65"/>
      <c r="J77" s="67">
        <f>J14-J74</f>
        <v>9.6082146774999728</v>
      </c>
      <c r="L77" s="55"/>
      <c r="M77" s="55"/>
      <c r="N77" s="55"/>
      <c r="O77" s="55"/>
      <c r="P77" s="55"/>
      <c r="Q77" s="55"/>
      <c r="R77" s="55"/>
      <c r="S77" s="55"/>
      <c r="T77" s="55"/>
      <c r="U77" s="55"/>
      <c r="V77" s="55"/>
      <c r="W77" s="55"/>
      <c r="X77" s="55"/>
      <c r="Y77" s="55"/>
      <c r="Z77" s="55"/>
      <c r="AA77" s="55"/>
      <c r="AB77" s="55"/>
      <c r="AC77" s="55"/>
      <c r="AD77" s="55"/>
      <c r="AE77" s="55"/>
      <c r="AF77" s="55"/>
      <c r="AG77" s="55"/>
    </row>
    <row r="78" spans="1:33" s="56" customFormat="1">
      <c r="A78" s="55"/>
      <c r="B78" s="61"/>
      <c r="C78" s="61"/>
      <c r="D78" s="74"/>
      <c r="E78" s="61"/>
      <c r="F78" s="62"/>
      <c r="G78" s="61"/>
      <c r="H78" s="74"/>
      <c r="I78" s="61"/>
      <c r="J78" s="63"/>
      <c r="L78" s="55"/>
      <c r="M78" s="55"/>
      <c r="N78" s="55"/>
      <c r="O78" s="55"/>
      <c r="P78" s="55"/>
      <c r="Q78" s="55"/>
      <c r="R78" s="55"/>
      <c r="S78" s="55"/>
      <c r="T78" s="55"/>
      <c r="U78" s="55"/>
      <c r="V78" s="55"/>
      <c r="W78" s="55"/>
      <c r="X78" s="55"/>
      <c r="Y78" s="55"/>
      <c r="Z78" s="55"/>
      <c r="AA78" s="55"/>
      <c r="AB78" s="55"/>
      <c r="AC78" s="55"/>
      <c r="AD78" s="55"/>
      <c r="AE78" s="55"/>
      <c r="AF78" s="55"/>
      <c r="AG78" s="55"/>
    </row>
    <row r="79" spans="1:33">
      <c r="B79" s="99" t="s">
        <v>218</v>
      </c>
      <c r="C79" s="99"/>
      <c r="D79" s="108"/>
      <c r="E79" s="99"/>
      <c r="F79" s="109"/>
      <c r="G79" s="99"/>
      <c r="H79" s="108"/>
      <c r="I79" s="99"/>
      <c r="J79" s="99"/>
      <c r="K79" s="99"/>
    </row>
    <row r="80" spans="1:33" ht="15" customHeight="1">
      <c r="B80" s="509" t="s">
        <v>221</v>
      </c>
      <c r="C80" s="480"/>
      <c r="D80" s="480"/>
      <c r="E80" s="480"/>
      <c r="F80" s="480"/>
      <c r="G80" s="480"/>
      <c r="H80" s="480"/>
      <c r="I80" s="480"/>
      <c r="J80" s="480"/>
    </row>
    <row r="81" spans="2:32" ht="15" customHeight="1">
      <c r="B81" s="481" t="s">
        <v>2</v>
      </c>
      <c r="C81" s="480"/>
      <c r="D81" s="480"/>
      <c r="E81" s="480"/>
      <c r="F81" s="480"/>
      <c r="G81" s="480"/>
      <c r="H81" s="480"/>
      <c r="I81" s="480"/>
      <c r="J81" s="480"/>
      <c r="K81" s="48"/>
    </row>
    <row r="82" spans="2:32" ht="15" customHeight="1">
      <c r="B82" s="481" t="s">
        <v>94</v>
      </c>
      <c r="C82" s="480"/>
      <c r="D82" s="480"/>
      <c r="E82" s="480"/>
      <c r="F82" s="480"/>
      <c r="G82" s="480"/>
      <c r="H82" s="480"/>
      <c r="I82" s="480"/>
      <c r="J82" s="480"/>
      <c r="K82" s="48"/>
    </row>
    <row r="83" spans="2:32" ht="15" customHeight="1">
      <c r="B83" s="235" t="s">
        <v>83</v>
      </c>
      <c r="C83" s="86"/>
      <c r="D83" s="86"/>
      <c r="E83" s="86"/>
      <c r="F83" s="86"/>
      <c r="G83" s="86"/>
      <c r="H83" s="86"/>
      <c r="I83" s="86"/>
      <c r="J83" s="86"/>
      <c r="K83" s="48"/>
    </row>
    <row r="84" spans="2:32" ht="15" customHeight="1">
      <c r="B84" s="479" t="s">
        <v>95</v>
      </c>
      <c r="C84" s="480"/>
      <c r="D84" s="480"/>
      <c r="E84" s="480"/>
      <c r="F84" s="480"/>
      <c r="G84" s="480"/>
      <c r="H84" s="480"/>
      <c r="I84" s="480"/>
      <c r="J84" s="480"/>
      <c r="K84" s="48"/>
    </row>
    <row r="85" spans="2:32" ht="15" customHeight="1">
      <c r="B85" s="477" t="s">
        <v>97</v>
      </c>
      <c r="C85" s="477"/>
      <c r="D85" s="477"/>
      <c r="E85" s="477"/>
      <c r="F85" s="477"/>
      <c r="G85" s="477"/>
      <c r="H85" s="477"/>
      <c r="I85" s="477"/>
      <c r="J85" s="477"/>
      <c r="K85" s="48"/>
      <c r="AF85" s="55"/>
    </row>
    <row r="86" spans="2:32">
      <c r="B86" s="12"/>
      <c r="C86" s="12"/>
      <c r="D86" s="53"/>
      <c r="E86" s="12"/>
      <c r="F86" s="13"/>
      <c r="G86" s="12"/>
      <c r="H86" s="53"/>
      <c r="I86" s="12"/>
      <c r="J86" s="12"/>
    </row>
    <row r="87" spans="2:32">
      <c r="B87" s="28" t="s">
        <v>189</v>
      </c>
      <c r="C87" s="12"/>
      <c r="D87" s="29" t="s">
        <v>190</v>
      </c>
      <c r="E87" s="12"/>
      <c r="F87" s="13"/>
      <c r="G87" s="12"/>
      <c r="H87" s="29" t="s">
        <v>192</v>
      </c>
      <c r="I87" s="12"/>
      <c r="J87" s="12"/>
    </row>
    <row r="88" spans="2:32">
      <c r="B88" s="12"/>
      <c r="C88" s="12"/>
      <c r="D88" s="30">
        <v>0.1</v>
      </c>
      <c r="E88" s="12"/>
      <c r="F88" s="13" t="s">
        <v>191</v>
      </c>
      <c r="G88" s="12"/>
      <c r="H88" s="30">
        <v>0.1</v>
      </c>
      <c r="I88" s="12"/>
      <c r="J88" s="12"/>
    </row>
    <row r="89" spans="2:32">
      <c r="B89" s="12"/>
      <c r="C89" s="12"/>
      <c r="D89" s="31"/>
      <c r="E89" s="8"/>
      <c r="F89" s="7" t="s">
        <v>193</v>
      </c>
      <c r="G89" s="8"/>
      <c r="H89" s="31"/>
      <c r="I89" s="12"/>
      <c r="J89" s="12"/>
    </row>
    <row r="90" spans="2:32">
      <c r="B90" s="32" t="s">
        <v>194</v>
      </c>
      <c r="C90" s="12"/>
      <c r="D90" s="33">
        <f>F90*(1-D88)</f>
        <v>49.5</v>
      </c>
      <c r="E90" s="34"/>
      <c r="F90" s="35">
        <f>D14</f>
        <v>55</v>
      </c>
      <c r="G90" s="34"/>
      <c r="H90" s="83">
        <f>F90*(1+H88)</f>
        <v>60.500000000000007</v>
      </c>
      <c r="I90" s="12"/>
      <c r="J90" s="12"/>
    </row>
    <row r="91" spans="2:32" ht="4.5" customHeight="1">
      <c r="B91" s="12"/>
      <c r="C91" s="12"/>
      <c r="D91" s="53"/>
      <c r="E91" s="12"/>
      <c r="F91" s="13"/>
      <c r="G91" s="12"/>
      <c r="H91" s="53"/>
      <c r="I91" s="12"/>
      <c r="J91" s="12"/>
    </row>
    <row r="92" spans="2:32">
      <c r="B92" s="12" t="s">
        <v>195</v>
      </c>
      <c r="C92" s="12"/>
      <c r="D92" s="36">
        <f>$J$53/D90</f>
        <v>2.0121569545454547</v>
      </c>
      <c r="E92" s="12"/>
      <c r="F92" s="36">
        <f>$J$53/F90</f>
        <v>1.8109412590909095</v>
      </c>
      <c r="G92" s="12"/>
      <c r="H92" s="36">
        <f>$J$53/H90</f>
        <v>1.6463102355371901</v>
      </c>
      <c r="I92" s="12"/>
      <c r="J92" s="12"/>
    </row>
    <row r="93" spans="2:32" ht="4.5" customHeight="1">
      <c r="B93" s="12"/>
      <c r="C93" s="12"/>
      <c r="D93" s="53"/>
      <c r="E93" s="12"/>
      <c r="F93" s="13"/>
      <c r="G93" s="12"/>
      <c r="H93" s="53"/>
      <c r="I93" s="12"/>
      <c r="J93" s="12"/>
    </row>
    <row r="94" spans="2:32">
      <c r="B94" s="12" t="s">
        <v>196</v>
      </c>
      <c r="C94" s="12"/>
      <c r="D94" s="36">
        <f>$J$71/D90</f>
        <v>3.4381821428787882</v>
      </c>
      <c r="E94" s="12"/>
      <c r="F94" s="36">
        <f>$J$71/F90</f>
        <v>3.0943639285909095</v>
      </c>
      <c r="G94" s="12"/>
      <c r="H94" s="36">
        <f>$J$71/H90</f>
        <v>2.8130581169008262</v>
      </c>
      <c r="I94" s="12"/>
      <c r="J94" s="12"/>
    </row>
    <row r="95" spans="2:32" ht="3.75" customHeight="1">
      <c r="B95" s="12"/>
      <c r="C95" s="12"/>
      <c r="D95" s="53"/>
      <c r="E95" s="12"/>
      <c r="F95" s="13"/>
      <c r="G95" s="12"/>
      <c r="H95" s="53"/>
      <c r="I95" s="12"/>
      <c r="J95" s="12"/>
    </row>
    <row r="96" spans="2:32">
      <c r="B96" s="12" t="s">
        <v>197</v>
      </c>
      <c r="C96" s="12"/>
      <c r="D96" s="36">
        <f>$J$74/D90</f>
        <v>5.4503390974242425</v>
      </c>
      <c r="E96" s="12"/>
      <c r="F96" s="36">
        <f>$J$74/F90</f>
        <v>4.9053051876818179</v>
      </c>
      <c r="G96" s="12"/>
      <c r="H96" s="36">
        <f>$J$74/H90</f>
        <v>4.4593683524380161</v>
      </c>
      <c r="I96" s="12"/>
      <c r="J96" s="12"/>
    </row>
    <row r="97" spans="2:10" ht="5.25" customHeight="1">
      <c r="B97" s="16"/>
      <c r="C97" s="16"/>
      <c r="D97" s="80"/>
      <c r="E97" s="16"/>
      <c r="F97" s="20"/>
      <c r="G97" s="16"/>
      <c r="H97" s="80"/>
      <c r="I97" s="16"/>
      <c r="J97" s="16"/>
    </row>
    <row r="98" spans="2:10">
      <c r="B98" s="12"/>
      <c r="C98" s="12"/>
      <c r="D98" s="29" t="s">
        <v>190</v>
      </c>
      <c r="E98" s="12"/>
      <c r="F98" s="13"/>
      <c r="G98" s="12"/>
      <c r="H98" s="29" t="s">
        <v>192</v>
      </c>
      <c r="I98" s="12"/>
      <c r="J98" s="12"/>
    </row>
    <row r="99" spans="2:10">
      <c r="B99" s="12"/>
      <c r="C99" s="12"/>
      <c r="D99" s="30">
        <v>0.1</v>
      </c>
      <c r="E99" s="12"/>
      <c r="F99" s="13" t="s">
        <v>191</v>
      </c>
      <c r="G99" s="12"/>
      <c r="H99" s="30">
        <v>0.1</v>
      </c>
      <c r="I99" s="12"/>
      <c r="J99" s="12"/>
    </row>
    <row r="100" spans="2:10">
      <c r="B100" s="12"/>
      <c r="C100" s="12"/>
      <c r="D100" s="7"/>
      <c r="E100" s="8"/>
      <c r="F100" s="9" t="s">
        <v>194</v>
      </c>
      <c r="G100" s="8"/>
      <c r="H100" s="7"/>
      <c r="I100" s="12"/>
      <c r="J100" s="12"/>
    </row>
    <row r="101" spans="2:10">
      <c r="B101" s="32" t="s">
        <v>193</v>
      </c>
      <c r="C101" s="12"/>
      <c r="D101" s="37">
        <f>F101*(1-D88)</f>
        <v>4.5720000000000001</v>
      </c>
      <c r="E101" s="34"/>
      <c r="F101" s="38">
        <f>H14</f>
        <v>5.08</v>
      </c>
      <c r="G101" s="34"/>
      <c r="H101" s="37">
        <f>F101*(1+H88)</f>
        <v>5.588000000000001</v>
      </c>
      <c r="I101" s="12"/>
      <c r="J101" s="12"/>
    </row>
    <row r="102" spans="2:10" ht="4.5" customHeight="1">
      <c r="B102" s="12"/>
      <c r="C102" s="12"/>
      <c r="D102" s="53"/>
      <c r="E102" s="12"/>
      <c r="F102" s="13"/>
      <c r="G102" s="12"/>
      <c r="H102" s="53"/>
      <c r="I102" s="12"/>
      <c r="J102" s="12"/>
    </row>
    <row r="103" spans="2:10">
      <c r="B103" s="12" t="s">
        <v>195</v>
      </c>
      <c r="C103" s="12"/>
      <c r="D103" s="39">
        <f>$J$53/D101</f>
        <v>21.785163877952758</v>
      </c>
      <c r="E103" s="12"/>
      <c r="F103" s="39">
        <f>$J$53/F101</f>
        <v>19.606647490157485</v>
      </c>
      <c r="G103" s="12"/>
      <c r="H103" s="39">
        <f>$J$53/H101</f>
        <v>17.824224991052255</v>
      </c>
      <c r="I103" s="12"/>
      <c r="J103" s="12"/>
    </row>
    <row r="104" spans="2:10" ht="3" customHeight="1">
      <c r="B104" s="12"/>
      <c r="C104" s="12"/>
      <c r="D104" s="53"/>
      <c r="E104" s="12"/>
      <c r="F104" s="13"/>
      <c r="G104" s="12"/>
      <c r="H104" s="53"/>
      <c r="I104" s="12"/>
      <c r="J104" s="12"/>
    </row>
    <row r="105" spans="2:10">
      <c r="B105" s="12" t="s">
        <v>196</v>
      </c>
      <c r="C105" s="12"/>
      <c r="D105" s="39">
        <f>$J$71/D101</f>
        <v>37.224412964238844</v>
      </c>
      <c r="E105" s="12"/>
      <c r="F105" s="39">
        <f>$J$71/F101</f>
        <v>33.501971667814963</v>
      </c>
      <c r="G105" s="12"/>
      <c r="H105" s="39">
        <f>$J$71/H101</f>
        <v>30.456337879831779</v>
      </c>
      <c r="I105" s="12"/>
      <c r="J105" s="12"/>
    </row>
    <row r="106" spans="2:10" ht="3.75" customHeight="1">
      <c r="B106" s="12"/>
      <c r="C106" s="12"/>
      <c r="D106" s="53"/>
      <c r="E106" s="12"/>
      <c r="F106" s="13"/>
      <c r="G106" s="12"/>
      <c r="H106" s="53"/>
      <c r="I106" s="12"/>
      <c r="J106" s="12"/>
    </row>
    <row r="107" spans="2:10">
      <c r="B107" s="12" t="s">
        <v>197</v>
      </c>
      <c r="C107" s="12"/>
      <c r="D107" s="39">
        <f>$J$74/D101</f>
        <v>59.009576842191599</v>
      </c>
      <c r="E107" s="12"/>
      <c r="F107" s="39">
        <f>$J$74/F101</f>
        <v>53.108619157972441</v>
      </c>
      <c r="G107" s="12"/>
      <c r="H107" s="39">
        <f>$J$74/H101</f>
        <v>48.280562870884033</v>
      </c>
      <c r="I107" s="12"/>
      <c r="J107" s="12"/>
    </row>
    <row r="108" spans="2:10" ht="5.25" customHeight="1">
      <c r="B108" s="12"/>
      <c r="C108" s="12"/>
      <c r="D108" s="53"/>
      <c r="E108" s="12"/>
      <c r="F108" s="13"/>
      <c r="G108" s="12"/>
      <c r="H108" s="53"/>
      <c r="I108" s="12"/>
      <c r="J108" s="12"/>
    </row>
    <row r="109" spans="2:10">
      <c r="B109" s="8"/>
      <c r="C109" s="8"/>
      <c r="D109" s="7"/>
      <c r="E109" s="8"/>
      <c r="F109" s="9"/>
      <c r="G109" s="8"/>
      <c r="H109" s="7"/>
      <c r="I109" s="8"/>
      <c r="J109" s="8"/>
    </row>
    <row r="110" spans="2:10" s="48" customFormat="1">
      <c r="D110" s="71"/>
      <c r="F110" s="49"/>
      <c r="H110" s="71"/>
    </row>
    <row r="111" spans="2:10" s="48" customFormat="1">
      <c r="D111" s="71"/>
      <c r="F111" s="49"/>
      <c r="H111" s="71"/>
    </row>
    <row r="112" spans="2:10" s="48" customFormat="1">
      <c r="D112" s="71"/>
      <c r="F112" s="49"/>
      <c r="H112" s="71"/>
    </row>
    <row r="113" spans="4:8" s="48" customFormat="1">
      <c r="D113" s="71"/>
      <c r="F113" s="49"/>
      <c r="H113" s="71"/>
    </row>
    <row r="114" spans="4:8" s="48" customFormat="1">
      <c r="D114" s="71"/>
      <c r="F114" s="49"/>
      <c r="H114" s="71"/>
    </row>
    <row r="115" spans="4:8" s="48" customFormat="1">
      <c r="D115" s="71"/>
      <c r="F115" s="49"/>
      <c r="H115" s="71"/>
    </row>
    <row r="116" spans="4:8" s="48" customFormat="1">
      <c r="D116" s="71"/>
      <c r="F116" s="49"/>
      <c r="H116" s="71"/>
    </row>
    <row r="117" spans="4:8" s="48" customFormat="1">
      <c r="D117" s="71"/>
      <c r="F117" s="49"/>
      <c r="H117" s="71"/>
    </row>
    <row r="118" spans="4:8" s="48" customFormat="1">
      <c r="D118" s="71"/>
      <c r="F118" s="49"/>
      <c r="H118" s="71"/>
    </row>
    <row r="119" spans="4:8" s="48" customFormat="1">
      <c r="D119" s="71"/>
      <c r="F119" s="49"/>
      <c r="H119" s="71"/>
    </row>
    <row r="120" spans="4:8" s="48" customFormat="1">
      <c r="D120" s="71"/>
      <c r="F120" s="49"/>
      <c r="H120" s="71"/>
    </row>
    <row r="121" spans="4:8" s="48" customFormat="1">
      <c r="D121" s="71"/>
      <c r="F121" s="49"/>
      <c r="H121" s="71"/>
    </row>
    <row r="122" spans="4:8" s="48" customFormat="1">
      <c r="D122" s="71"/>
      <c r="F122" s="49"/>
      <c r="H122" s="71"/>
    </row>
    <row r="123" spans="4:8" s="48" customFormat="1">
      <c r="D123" s="71"/>
      <c r="F123" s="49"/>
      <c r="H123" s="71"/>
    </row>
    <row r="124" spans="4:8" s="48" customFormat="1">
      <c r="D124" s="71"/>
      <c r="F124" s="49"/>
      <c r="H124" s="71"/>
    </row>
    <row r="125" spans="4:8" s="48" customFormat="1">
      <c r="D125" s="71"/>
      <c r="F125" s="49"/>
      <c r="H125" s="71"/>
    </row>
    <row r="126" spans="4:8" s="48" customFormat="1">
      <c r="D126" s="71"/>
      <c r="F126" s="49"/>
      <c r="H126" s="71"/>
    </row>
    <row r="127" spans="4:8" s="48" customFormat="1">
      <c r="D127" s="71"/>
      <c r="F127" s="49"/>
      <c r="H127" s="71"/>
    </row>
    <row r="128" spans="4:8" s="48" customFormat="1">
      <c r="D128" s="71"/>
      <c r="F128" s="49"/>
      <c r="H128" s="71"/>
    </row>
    <row r="129" spans="2:8" s="48" customFormat="1">
      <c r="D129" s="71"/>
      <c r="F129" s="49"/>
      <c r="H129" s="71"/>
    </row>
    <row r="130" spans="2:8" s="48" customFormat="1">
      <c r="D130" s="71"/>
      <c r="F130" s="49"/>
      <c r="H130" s="71"/>
    </row>
    <row r="131" spans="2:8" s="48" customFormat="1">
      <c r="B131"/>
      <c r="C131"/>
      <c r="D131" s="71"/>
      <c r="F131" s="49"/>
      <c r="H131" s="71"/>
    </row>
    <row r="132" spans="2:8" s="48" customFormat="1">
      <c r="B132"/>
      <c r="C132"/>
      <c r="D132" s="71"/>
      <c r="F132" s="49"/>
      <c r="H132" s="71"/>
    </row>
    <row r="133" spans="2:8" s="48" customFormat="1">
      <c r="B133"/>
      <c r="C133"/>
      <c r="D133" s="71"/>
      <c r="F133" s="49"/>
      <c r="H133" s="71"/>
    </row>
    <row r="134" spans="2:8" s="48" customFormat="1">
      <c r="B134"/>
      <c r="C134"/>
      <c r="D134" s="71"/>
      <c r="F134" s="49"/>
      <c r="H134" s="71"/>
    </row>
    <row r="135" spans="2:8" s="48" customFormat="1">
      <c r="B135"/>
      <c r="C135"/>
      <c r="D135" s="71"/>
      <c r="F135" s="49"/>
      <c r="H135" s="71"/>
    </row>
    <row r="136" spans="2:8" s="48" customFormat="1">
      <c r="B136"/>
      <c r="C136"/>
      <c r="D136" s="71"/>
      <c r="F136" s="49"/>
      <c r="H136" s="71"/>
    </row>
    <row r="137" spans="2:8" s="48" customFormat="1">
      <c r="B137"/>
      <c r="C137"/>
      <c r="D137" s="71"/>
      <c r="F137" s="49"/>
      <c r="H137" s="71"/>
    </row>
    <row r="138" spans="2:8" s="48" customFormat="1">
      <c r="B138"/>
      <c r="C138"/>
      <c r="D138" s="71"/>
      <c r="F138" s="49"/>
      <c r="H138" s="71"/>
    </row>
    <row r="139" spans="2:8" s="48" customFormat="1">
      <c r="B139"/>
      <c r="C139"/>
      <c r="D139" s="71"/>
      <c r="F139" s="49"/>
      <c r="H139" s="71"/>
    </row>
    <row r="140" spans="2:8" s="48" customFormat="1">
      <c r="B140"/>
      <c r="C140"/>
      <c r="D140" s="71"/>
      <c r="F140" s="49"/>
      <c r="H140" s="71"/>
    </row>
    <row r="141" spans="2:8" s="48" customFormat="1">
      <c r="B141"/>
      <c r="C141"/>
      <c r="D141" s="71"/>
      <c r="F141" s="49"/>
      <c r="H141" s="71"/>
    </row>
    <row r="142" spans="2:8" s="48" customFormat="1">
      <c r="B142"/>
      <c r="C142"/>
      <c r="D142" s="71"/>
      <c r="F142" s="49"/>
      <c r="H142" s="71"/>
    </row>
    <row r="143" spans="2:8" s="48" customFormat="1">
      <c r="B143"/>
      <c r="C143"/>
      <c r="D143" s="71"/>
      <c r="F143" s="49"/>
      <c r="H143" s="71"/>
    </row>
    <row r="144" spans="2:8" s="48" customFormat="1">
      <c r="B144"/>
      <c r="C144"/>
      <c r="D144" s="71"/>
      <c r="F144" s="49"/>
      <c r="H144" s="71"/>
    </row>
    <row r="145" spans="2:8" s="48" customFormat="1">
      <c r="B145"/>
      <c r="C145"/>
      <c r="D145" s="71"/>
      <c r="F145" s="49"/>
      <c r="H145" s="71"/>
    </row>
    <row r="146" spans="2:8" s="48" customFormat="1">
      <c r="B146"/>
      <c r="C146"/>
      <c r="D146" s="71"/>
      <c r="F146" s="49"/>
      <c r="H146" s="71"/>
    </row>
    <row r="147" spans="2:8" s="48" customFormat="1">
      <c r="B147"/>
      <c r="C147"/>
      <c r="D147" s="71"/>
      <c r="F147" s="49"/>
      <c r="H147" s="71"/>
    </row>
    <row r="148" spans="2:8" s="48" customFormat="1">
      <c r="B148"/>
      <c r="C148"/>
      <c r="D148" s="71"/>
      <c r="F148" s="49"/>
      <c r="H148" s="71"/>
    </row>
    <row r="149" spans="2:8" s="48" customFormat="1">
      <c r="B149"/>
      <c r="C149"/>
      <c r="D149" s="71"/>
      <c r="F149" s="49"/>
      <c r="H149" s="71"/>
    </row>
    <row r="150" spans="2:8" s="48" customFormat="1">
      <c r="B150"/>
      <c r="C150"/>
      <c r="D150" s="71"/>
      <c r="F150" s="49"/>
      <c r="H150" s="71"/>
    </row>
    <row r="151" spans="2:8" s="48" customFormat="1">
      <c r="B151"/>
      <c r="C151"/>
      <c r="D151" s="71"/>
      <c r="F151" s="49"/>
      <c r="H151" s="71"/>
    </row>
    <row r="152" spans="2:8" s="48" customFormat="1">
      <c r="B152"/>
      <c r="C152"/>
      <c r="D152" s="71"/>
      <c r="F152" s="49"/>
      <c r="H152" s="71"/>
    </row>
    <row r="153" spans="2:8" s="48" customFormat="1">
      <c r="B153"/>
      <c r="C153"/>
      <c r="D153" s="71"/>
      <c r="F153" s="49"/>
      <c r="H153" s="71"/>
    </row>
    <row r="154" spans="2:8" s="48" customFormat="1">
      <c r="B154"/>
      <c r="C154"/>
      <c r="D154" s="71"/>
      <c r="F154" s="49"/>
      <c r="H154" s="71"/>
    </row>
    <row r="155" spans="2:8" s="48" customFormat="1">
      <c r="B155"/>
      <c r="C155"/>
      <c r="D155" s="71"/>
      <c r="F155" s="49"/>
      <c r="H155" s="71"/>
    </row>
    <row r="156" spans="2:8" s="48" customFormat="1">
      <c r="B156"/>
      <c r="C156"/>
      <c r="D156" s="71"/>
      <c r="F156" s="49"/>
      <c r="H156" s="71"/>
    </row>
  </sheetData>
  <customSheetViews>
    <customSheetView guid="{E00EC0C4-E70A-4D33-A9FE-7CF308F53A5C}" hiddenColumns="1" showRuler="0" topLeftCell="A55">
      <selection sqref="A1:IV65536"/>
      <pageMargins left="0.75" right="0.75" top="1" bottom="1" header="0.5" footer="0.5"/>
      <headerFooter alignWithMargins="0"/>
    </customSheetView>
  </customSheetViews>
  <mergeCells count="11">
    <mergeCell ref="B85:J85"/>
    <mergeCell ref="B80:J80"/>
    <mergeCell ref="B8:J8"/>
    <mergeCell ref="B81:J81"/>
    <mergeCell ref="B82:J82"/>
    <mergeCell ref="B84:J84"/>
    <mergeCell ref="B6:J6"/>
    <mergeCell ref="B2:J2"/>
    <mergeCell ref="B3:J3"/>
    <mergeCell ref="B4:J4"/>
    <mergeCell ref="B5:J5"/>
  </mergeCells>
  <phoneticPr fontId="5" type="noConversion"/>
  <hyperlinks>
    <hyperlink ref="B85:J85" location="RTWWMC" display="Reduced Tillage Winter Wheat Machinery Costs table."/>
  </hyperlinks>
  <printOptions horizontalCentered="1"/>
  <pageMargins left="0.75" right="0.75" top="0.81" bottom="1" header="0.5" footer="0.5"/>
  <pageSetup fitToHeight="0" orientation="portrait" verticalDpi="1200" r:id="rId1"/>
  <headerFooter alignWithMargins="0">
    <oddFooter>&amp;L&amp;A&amp;C&amp;F&amp;R&amp;D</oddFooter>
  </headerFooter>
  <rowBreaks count="1" manualBreakCount="1">
    <brk id="56" min="1" max="9" man="1"/>
  </rowBreaks>
  <ignoredErrors>
    <ignoredError sqref="J20:J72" emptyCellReference="1"/>
  </ignoredErrors>
</worksheet>
</file>

<file path=xl/worksheets/sheet13.xml><?xml version="1.0" encoding="utf-8"?>
<worksheet xmlns="http://schemas.openxmlformats.org/spreadsheetml/2006/main" xmlns:r="http://schemas.openxmlformats.org/officeDocument/2006/relationships">
  <dimension ref="A1:Z157"/>
  <sheetViews>
    <sheetView zoomScaleNormal="100" workbookViewId="0">
      <selection activeCell="E11" sqref="E11"/>
    </sheetView>
  </sheetViews>
  <sheetFormatPr defaultColWidth="8.7109375" defaultRowHeight="12.75"/>
  <cols>
    <col min="1" max="1" width="4.28515625" style="48" customWidth="1"/>
    <col min="2" max="2" width="11" customWidth="1"/>
    <col min="3" max="3" width="20.140625" customWidth="1"/>
    <col min="4" max="4" width="27.140625" customWidth="1"/>
    <col min="5" max="5" width="39.42578125" customWidth="1"/>
    <col min="6" max="26" width="8.7109375" style="48" customWidth="1"/>
  </cols>
  <sheetData>
    <row r="1" spans="2:5">
      <c r="B1" s="48"/>
      <c r="C1" s="48"/>
      <c r="D1" s="48"/>
      <c r="E1" s="48"/>
    </row>
    <row r="2" spans="2:5" ht="30" customHeight="1">
      <c r="B2" s="308" t="s">
        <v>124</v>
      </c>
      <c r="C2" s="338"/>
      <c r="D2" s="338"/>
      <c r="E2" s="338"/>
    </row>
    <row r="3" spans="2:5" ht="6" customHeight="1">
      <c r="B3" s="318"/>
      <c r="C3" s="337"/>
      <c r="D3" s="337"/>
      <c r="E3" s="337"/>
    </row>
    <row r="4" spans="2:5" ht="30" customHeight="1">
      <c r="B4" s="317" t="s">
        <v>143</v>
      </c>
      <c r="C4" s="317" t="s">
        <v>145</v>
      </c>
      <c r="D4" s="317" t="s">
        <v>147</v>
      </c>
      <c r="E4" s="317" t="s">
        <v>148</v>
      </c>
    </row>
    <row r="5" spans="2:5">
      <c r="B5" s="46"/>
      <c r="C5" s="46"/>
      <c r="D5" s="46" t="s">
        <v>8</v>
      </c>
      <c r="E5" s="46" t="s">
        <v>125</v>
      </c>
    </row>
    <row r="6" spans="2:5">
      <c r="B6" s="10" t="s">
        <v>85</v>
      </c>
      <c r="C6" s="10" t="s">
        <v>126</v>
      </c>
      <c r="D6" s="10" t="s">
        <v>81</v>
      </c>
      <c r="E6" s="10" t="s">
        <v>293</v>
      </c>
    </row>
    <row r="7" spans="2:5">
      <c r="B7" s="43"/>
      <c r="C7" s="43"/>
      <c r="D7" s="43"/>
      <c r="E7" s="43"/>
    </row>
    <row r="8" spans="2:5">
      <c r="B8" s="44" t="s">
        <v>127</v>
      </c>
      <c r="C8" s="44" t="s">
        <v>167</v>
      </c>
      <c r="D8" s="44" t="s">
        <v>3</v>
      </c>
      <c r="E8" s="44" t="s">
        <v>356</v>
      </c>
    </row>
    <row r="9" spans="2:5">
      <c r="B9" s="46"/>
      <c r="C9" s="46"/>
      <c r="D9" s="46"/>
      <c r="E9" s="46"/>
    </row>
    <row r="10" spans="2:5">
      <c r="B10" s="10" t="s">
        <v>158</v>
      </c>
      <c r="C10" s="10" t="s">
        <v>167</v>
      </c>
      <c r="D10" s="10" t="s">
        <v>3</v>
      </c>
      <c r="E10" s="10" t="s">
        <v>357</v>
      </c>
    </row>
    <row r="11" spans="2:5">
      <c r="B11" s="12"/>
      <c r="C11" s="43"/>
      <c r="D11" s="12"/>
      <c r="E11" s="43"/>
    </row>
    <row r="12" spans="2:5">
      <c r="B12" s="12" t="s">
        <v>158</v>
      </c>
      <c r="C12" s="12" t="s">
        <v>159</v>
      </c>
      <c r="D12" s="44"/>
      <c r="E12" s="12"/>
    </row>
    <row r="13" spans="2:5">
      <c r="B13" s="46"/>
      <c r="C13" s="46"/>
      <c r="D13" s="46"/>
      <c r="E13" s="46"/>
    </row>
    <row r="14" spans="2:5">
      <c r="B14" s="10" t="s">
        <v>10</v>
      </c>
      <c r="C14" s="10" t="s">
        <v>149</v>
      </c>
      <c r="D14" s="10" t="s">
        <v>161</v>
      </c>
      <c r="E14" s="10"/>
    </row>
    <row r="15" spans="2:5" ht="15" customHeight="1">
      <c r="B15" s="504" t="s">
        <v>290</v>
      </c>
      <c r="C15" s="505"/>
      <c r="D15" s="505"/>
      <c r="E15" s="505"/>
    </row>
    <row r="16" spans="2:5">
      <c r="B16" s="48"/>
      <c r="C16" s="48"/>
      <c r="D16" s="48"/>
      <c r="E16" s="48"/>
    </row>
    <row r="17" spans="2:5">
      <c r="B17" s="48" t="s">
        <v>131</v>
      </c>
      <c r="D17" s="48"/>
      <c r="E17" s="48"/>
    </row>
    <row r="18" spans="2:5">
      <c r="B18" s="48" t="s">
        <v>226</v>
      </c>
      <c r="C18" s="48" t="s">
        <v>224</v>
      </c>
      <c r="D18" s="48"/>
      <c r="E18" s="48"/>
    </row>
    <row r="19" spans="2:5">
      <c r="B19" s="48" t="s">
        <v>227</v>
      </c>
      <c r="C19" s="48" t="s">
        <v>225</v>
      </c>
      <c r="D19" s="48"/>
      <c r="E19" s="48"/>
    </row>
    <row r="20" spans="2:5">
      <c r="B20" s="48"/>
      <c r="C20" s="48"/>
      <c r="D20" s="48"/>
      <c r="E20" s="48"/>
    </row>
    <row r="21" spans="2:5">
      <c r="B21" s="48"/>
      <c r="C21" s="48"/>
      <c r="D21" s="48"/>
      <c r="E21" s="48"/>
    </row>
    <row r="22" spans="2:5">
      <c r="B22" s="48"/>
      <c r="C22" s="48"/>
      <c r="D22" s="48"/>
      <c r="E22" s="48"/>
    </row>
    <row r="23" spans="2:5">
      <c r="B23" s="48"/>
      <c r="C23" s="48"/>
      <c r="D23" s="48"/>
      <c r="E23" s="48"/>
    </row>
    <row r="24" spans="2:5">
      <c r="B24" s="48"/>
      <c r="C24" s="48"/>
      <c r="D24" s="48"/>
      <c r="E24" s="48"/>
    </row>
    <row r="25" spans="2:5">
      <c r="B25" s="48"/>
      <c r="C25" s="48"/>
      <c r="D25" s="48"/>
      <c r="E25" s="48"/>
    </row>
    <row r="26" spans="2:5">
      <c r="B26" s="48"/>
      <c r="C26" s="48"/>
      <c r="D26" s="48"/>
      <c r="E26" s="48"/>
    </row>
    <row r="27" spans="2:5">
      <c r="B27" s="48"/>
      <c r="C27" s="48"/>
      <c r="D27" s="48"/>
      <c r="E27" s="48"/>
    </row>
    <row r="28" spans="2:5">
      <c r="B28" s="48"/>
      <c r="C28" s="48"/>
      <c r="D28" s="48"/>
      <c r="E28" s="48"/>
    </row>
    <row r="29" spans="2:5">
      <c r="B29" s="48"/>
      <c r="C29" s="48"/>
      <c r="D29" s="48"/>
      <c r="E29" s="48"/>
    </row>
    <row r="30" spans="2:5">
      <c r="B30" s="48"/>
      <c r="C30" s="48"/>
      <c r="D30" s="48"/>
      <c r="E30" s="48"/>
    </row>
    <row r="31" spans="2:5">
      <c r="B31" s="48"/>
      <c r="C31" s="48"/>
      <c r="D31" s="48"/>
      <c r="E31" s="48"/>
    </row>
    <row r="32" spans="2:5">
      <c r="B32" s="48"/>
      <c r="C32" s="48"/>
      <c r="D32" s="48"/>
      <c r="E32" s="48"/>
    </row>
    <row r="33" spans="2:5">
      <c r="B33" s="48"/>
      <c r="C33" s="48"/>
      <c r="D33" s="48"/>
      <c r="E33" s="48"/>
    </row>
    <row r="34" spans="2:5">
      <c r="B34" s="48"/>
      <c r="C34" s="48"/>
      <c r="D34" s="48"/>
      <c r="E34" s="48"/>
    </row>
    <row r="35" spans="2:5">
      <c r="B35" s="48"/>
      <c r="C35" s="48"/>
      <c r="D35" s="48"/>
      <c r="E35" s="48"/>
    </row>
    <row r="36" spans="2:5">
      <c r="B36" s="48"/>
      <c r="C36" s="48"/>
      <c r="D36" s="48"/>
      <c r="E36" s="48"/>
    </row>
    <row r="37" spans="2:5">
      <c r="B37" s="48"/>
      <c r="C37" s="48"/>
      <c r="D37" s="48"/>
      <c r="E37" s="48"/>
    </row>
    <row r="38" spans="2:5">
      <c r="B38" s="48"/>
      <c r="C38" s="48"/>
      <c r="D38" s="48"/>
      <c r="E38" s="48"/>
    </row>
    <row r="39" spans="2:5">
      <c r="B39" s="48"/>
      <c r="C39" s="48"/>
      <c r="D39" s="48"/>
      <c r="E39" s="48"/>
    </row>
    <row r="40" spans="2:5">
      <c r="B40" s="48"/>
      <c r="C40" s="48"/>
      <c r="D40" s="48"/>
      <c r="E40" s="48"/>
    </row>
    <row r="41" spans="2:5">
      <c r="B41" s="48"/>
      <c r="C41" s="48"/>
      <c r="D41" s="48"/>
      <c r="E41" s="48"/>
    </row>
    <row r="42" spans="2:5">
      <c r="B42" s="48"/>
      <c r="C42" s="48"/>
      <c r="D42" s="48"/>
      <c r="E42" s="48"/>
    </row>
    <row r="43" spans="2:5">
      <c r="B43" s="48"/>
      <c r="C43" s="48"/>
      <c r="D43" s="48"/>
      <c r="E43" s="48"/>
    </row>
    <row r="44" spans="2:5">
      <c r="B44" s="48"/>
      <c r="C44" s="48"/>
      <c r="D44" s="48"/>
      <c r="E44" s="48"/>
    </row>
    <row r="45" spans="2:5">
      <c r="B45" s="48"/>
      <c r="C45" s="48"/>
      <c r="D45" s="48"/>
      <c r="E45" s="48"/>
    </row>
    <row r="46" spans="2:5">
      <c r="B46" s="48"/>
      <c r="C46" s="48"/>
      <c r="D46" s="48"/>
      <c r="E46" s="48"/>
    </row>
    <row r="47" spans="2:5">
      <c r="B47" s="48"/>
      <c r="C47" s="48"/>
      <c r="D47" s="48"/>
      <c r="E47" s="48"/>
    </row>
    <row r="48" spans="2:5">
      <c r="B48" s="48"/>
      <c r="C48" s="48"/>
      <c r="D48" s="48"/>
      <c r="E48" s="48"/>
    </row>
    <row r="49" spans="2:5">
      <c r="B49" s="48"/>
      <c r="C49" s="48"/>
      <c r="D49" s="48"/>
      <c r="E49" s="48"/>
    </row>
    <row r="50" spans="2:5">
      <c r="B50" s="48"/>
      <c r="C50" s="48"/>
      <c r="D50" s="48"/>
      <c r="E50" s="48"/>
    </row>
    <row r="51" spans="2:5">
      <c r="B51" s="48"/>
      <c r="C51" s="48"/>
      <c r="D51" s="48"/>
      <c r="E51" s="48"/>
    </row>
    <row r="52" spans="2:5">
      <c r="B52" s="48"/>
      <c r="C52" s="48"/>
      <c r="D52" s="48"/>
      <c r="E52" s="48"/>
    </row>
    <row r="53" spans="2:5">
      <c r="B53" s="48"/>
      <c r="C53" s="48"/>
      <c r="D53" s="48"/>
      <c r="E53" s="48"/>
    </row>
    <row r="54" spans="2:5">
      <c r="B54" s="48"/>
      <c r="C54" s="48"/>
      <c r="D54" s="48"/>
      <c r="E54" s="48"/>
    </row>
    <row r="55" spans="2:5">
      <c r="B55" s="48"/>
      <c r="C55" s="48"/>
      <c r="D55" s="48"/>
      <c r="E55" s="48"/>
    </row>
    <row r="56" spans="2:5">
      <c r="B56" s="48"/>
      <c r="C56" s="48"/>
      <c r="D56" s="48"/>
      <c r="E56" s="48"/>
    </row>
    <row r="57" spans="2:5">
      <c r="B57" s="48"/>
      <c r="C57" s="48"/>
      <c r="D57" s="48"/>
      <c r="E57" s="48"/>
    </row>
    <row r="58" spans="2:5">
      <c r="B58" s="48"/>
      <c r="C58" s="48"/>
      <c r="D58" s="48"/>
      <c r="E58" s="48"/>
    </row>
    <row r="59" spans="2:5">
      <c r="B59" s="48"/>
      <c r="C59" s="48"/>
      <c r="D59" s="48"/>
      <c r="E59" s="48"/>
    </row>
    <row r="60" spans="2:5">
      <c r="B60" s="48"/>
      <c r="C60" s="48"/>
      <c r="D60" s="48"/>
      <c r="E60" s="48"/>
    </row>
    <row r="61" spans="2:5">
      <c r="B61" s="48"/>
      <c r="C61" s="48"/>
      <c r="D61" s="48"/>
      <c r="E61" s="48"/>
    </row>
    <row r="62" spans="2:5">
      <c r="B62" s="48"/>
      <c r="C62" s="48"/>
      <c r="D62" s="48"/>
      <c r="E62" s="48"/>
    </row>
    <row r="63" spans="2:5">
      <c r="B63" s="48"/>
      <c r="C63" s="48"/>
      <c r="D63" s="48"/>
      <c r="E63" s="48"/>
    </row>
    <row r="64" spans="2:5">
      <c r="B64" s="48"/>
      <c r="C64" s="48"/>
      <c r="D64" s="48"/>
      <c r="E64" s="48"/>
    </row>
    <row r="65" spans="2:5">
      <c r="B65" s="48"/>
      <c r="C65" s="48"/>
      <c r="D65" s="48"/>
      <c r="E65" s="48"/>
    </row>
    <row r="66" spans="2:5">
      <c r="B66" s="48"/>
      <c r="C66" s="48"/>
      <c r="D66" s="48"/>
      <c r="E66" s="48"/>
    </row>
    <row r="67" spans="2:5">
      <c r="B67" s="48"/>
      <c r="C67" s="48"/>
      <c r="D67" s="48"/>
      <c r="E67" s="48"/>
    </row>
    <row r="68" spans="2:5">
      <c r="B68" s="48"/>
      <c r="C68" s="48"/>
      <c r="D68" s="48"/>
      <c r="E68" s="48"/>
    </row>
    <row r="69" spans="2:5">
      <c r="B69" s="48"/>
      <c r="C69" s="48"/>
      <c r="D69" s="48"/>
      <c r="E69" s="48"/>
    </row>
    <row r="70" spans="2:5">
      <c r="B70" s="48"/>
      <c r="C70" s="48"/>
      <c r="D70" s="48"/>
      <c r="E70" s="48"/>
    </row>
    <row r="71" spans="2:5">
      <c r="B71" s="48"/>
      <c r="C71" s="48"/>
      <c r="D71" s="48"/>
      <c r="E71" s="48"/>
    </row>
    <row r="72" spans="2:5">
      <c r="B72" s="48"/>
      <c r="C72" s="48"/>
      <c r="D72" s="48"/>
      <c r="E72" s="48"/>
    </row>
    <row r="73" spans="2:5">
      <c r="B73" s="48"/>
      <c r="C73" s="48"/>
      <c r="D73" s="48"/>
      <c r="E73" s="48"/>
    </row>
    <row r="74" spans="2:5">
      <c r="B74" s="48"/>
      <c r="C74" s="48"/>
      <c r="D74" s="48"/>
      <c r="E74" s="48"/>
    </row>
    <row r="75" spans="2:5">
      <c r="B75" s="48"/>
      <c r="C75" s="48"/>
      <c r="D75" s="48"/>
      <c r="E75" s="48"/>
    </row>
    <row r="76" spans="2:5">
      <c r="B76" s="48"/>
      <c r="C76" s="48"/>
      <c r="D76" s="48"/>
      <c r="E76" s="48"/>
    </row>
    <row r="77" spans="2:5">
      <c r="B77" s="48"/>
      <c r="C77" s="48"/>
      <c r="D77" s="48"/>
      <c r="E77" s="48"/>
    </row>
    <row r="78" spans="2:5">
      <c r="B78" s="48"/>
      <c r="C78" s="48"/>
      <c r="D78" s="48"/>
      <c r="E78" s="48"/>
    </row>
    <row r="79" spans="2:5">
      <c r="B79" s="48"/>
      <c r="C79" s="48"/>
      <c r="D79" s="48"/>
      <c r="E79" s="48"/>
    </row>
    <row r="80" spans="2:5">
      <c r="B80" s="48"/>
      <c r="C80" s="48"/>
      <c r="D80" s="48"/>
      <c r="E80" s="48"/>
    </row>
    <row r="81" spans="2:5">
      <c r="B81" s="48"/>
      <c r="C81" s="48"/>
      <c r="D81" s="48"/>
      <c r="E81" s="48"/>
    </row>
    <row r="82" spans="2:5">
      <c r="B82" s="48"/>
      <c r="C82" s="48"/>
      <c r="D82" s="48"/>
      <c r="E82" s="48"/>
    </row>
    <row r="83" spans="2:5">
      <c r="B83" s="48"/>
      <c r="C83" s="48"/>
      <c r="D83" s="48"/>
      <c r="E83" s="48"/>
    </row>
    <row r="84" spans="2:5">
      <c r="B84" s="48"/>
      <c r="C84" s="48"/>
      <c r="D84" s="48"/>
      <c r="E84" s="48"/>
    </row>
    <row r="85" spans="2:5">
      <c r="B85" s="48"/>
      <c r="C85" s="48"/>
      <c r="D85" s="48"/>
      <c r="E85" s="48"/>
    </row>
    <row r="86" spans="2:5">
      <c r="B86" s="48"/>
      <c r="C86" s="48"/>
      <c r="D86" s="48"/>
      <c r="E86" s="48"/>
    </row>
    <row r="87" spans="2:5">
      <c r="B87" s="48"/>
      <c r="C87" s="48"/>
      <c r="D87" s="48"/>
      <c r="E87" s="48"/>
    </row>
    <row r="88" spans="2:5">
      <c r="B88" s="48"/>
      <c r="C88" s="48"/>
      <c r="D88" s="48"/>
      <c r="E88" s="48"/>
    </row>
    <row r="89" spans="2:5">
      <c r="B89" s="48"/>
      <c r="C89" s="48"/>
      <c r="D89" s="48"/>
      <c r="E89" s="48"/>
    </row>
    <row r="90" spans="2:5">
      <c r="B90" s="48"/>
      <c r="C90" s="48"/>
      <c r="D90" s="48"/>
      <c r="E90" s="48"/>
    </row>
    <row r="91" spans="2:5">
      <c r="B91" s="48"/>
      <c r="C91" s="48"/>
      <c r="D91" s="48"/>
      <c r="E91" s="48"/>
    </row>
    <row r="92" spans="2:5">
      <c r="B92" s="48"/>
      <c r="C92" s="48"/>
      <c r="D92" s="48"/>
      <c r="E92" s="48"/>
    </row>
    <row r="93" spans="2:5">
      <c r="B93" s="48"/>
      <c r="C93" s="48"/>
      <c r="D93" s="48"/>
      <c r="E93" s="48"/>
    </row>
    <row r="94" spans="2:5">
      <c r="B94" s="48"/>
      <c r="C94" s="48"/>
      <c r="D94" s="48"/>
      <c r="E94" s="48"/>
    </row>
    <row r="95" spans="2:5">
      <c r="B95" s="48"/>
      <c r="C95" s="48"/>
      <c r="D95" s="48"/>
      <c r="E95" s="48"/>
    </row>
    <row r="96" spans="2:5">
      <c r="B96" s="48"/>
      <c r="C96" s="48"/>
      <c r="D96" s="48"/>
      <c r="E96" s="48"/>
    </row>
    <row r="97" spans="2:5">
      <c r="B97" s="48"/>
      <c r="C97" s="48"/>
      <c r="D97" s="48"/>
      <c r="E97" s="48"/>
    </row>
    <row r="98" spans="2:5">
      <c r="B98" s="48"/>
      <c r="C98" s="48"/>
      <c r="D98" s="48"/>
      <c r="E98" s="48"/>
    </row>
    <row r="99" spans="2:5">
      <c r="B99" s="48"/>
      <c r="C99" s="48"/>
      <c r="D99" s="48"/>
      <c r="E99" s="48"/>
    </row>
    <row r="100" spans="2:5">
      <c r="B100" s="48"/>
      <c r="C100" s="48"/>
      <c r="D100" s="48"/>
      <c r="E100" s="48"/>
    </row>
    <row r="101" spans="2:5">
      <c r="B101" s="48"/>
      <c r="C101" s="48"/>
      <c r="D101" s="48"/>
      <c r="E101" s="48"/>
    </row>
    <row r="102" spans="2:5">
      <c r="B102" s="48"/>
      <c r="C102" s="48"/>
      <c r="D102" s="48"/>
      <c r="E102" s="48"/>
    </row>
    <row r="103" spans="2:5">
      <c r="B103" s="48"/>
      <c r="C103" s="48"/>
      <c r="D103" s="48"/>
      <c r="E103" s="48"/>
    </row>
    <row r="104" spans="2:5">
      <c r="B104" s="48"/>
      <c r="C104" s="48"/>
      <c r="D104" s="48"/>
      <c r="E104" s="48"/>
    </row>
    <row r="105" spans="2:5">
      <c r="B105" s="48"/>
      <c r="C105" s="48"/>
      <c r="D105" s="48"/>
      <c r="E105" s="48"/>
    </row>
    <row r="106" spans="2:5">
      <c r="B106" s="48"/>
      <c r="C106" s="48"/>
      <c r="D106" s="48"/>
      <c r="E106" s="48"/>
    </row>
    <row r="107" spans="2:5">
      <c r="B107" s="48"/>
      <c r="C107" s="48"/>
      <c r="D107" s="48"/>
      <c r="E107" s="48"/>
    </row>
    <row r="108" spans="2:5">
      <c r="B108" s="48"/>
      <c r="C108" s="48"/>
      <c r="D108" s="48"/>
      <c r="E108" s="48"/>
    </row>
    <row r="109" spans="2:5">
      <c r="B109" s="48"/>
      <c r="C109" s="48"/>
      <c r="D109" s="48"/>
      <c r="E109" s="48"/>
    </row>
    <row r="110" spans="2:5">
      <c r="B110" s="48"/>
      <c r="C110" s="48"/>
      <c r="D110" s="48"/>
      <c r="E110" s="48"/>
    </row>
    <row r="111" spans="2:5">
      <c r="B111" s="48"/>
      <c r="C111" s="48"/>
      <c r="D111" s="48"/>
      <c r="E111" s="48"/>
    </row>
    <row r="112" spans="2:5">
      <c r="B112" s="48"/>
      <c r="C112" s="48"/>
      <c r="D112" s="48"/>
      <c r="E112" s="48"/>
    </row>
    <row r="113" spans="2:5">
      <c r="B113" s="48"/>
      <c r="C113" s="48"/>
      <c r="D113" s="48"/>
      <c r="E113" s="48"/>
    </row>
    <row r="114" spans="2:5">
      <c r="B114" s="48"/>
      <c r="C114" s="48"/>
      <c r="D114" s="48"/>
      <c r="E114" s="48"/>
    </row>
    <row r="115" spans="2:5">
      <c r="B115" s="48"/>
      <c r="C115" s="48"/>
      <c r="D115" s="48"/>
      <c r="E115" s="48"/>
    </row>
    <row r="116" spans="2:5">
      <c r="B116" s="48"/>
      <c r="C116" s="48"/>
      <c r="D116" s="48"/>
      <c r="E116" s="48"/>
    </row>
    <row r="117" spans="2:5">
      <c r="B117" s="48"/>
      <c r="C117" s="48"/>
      <c r="D117" s="48"/>
      <c r="E117" s="48"/>
    </row>
    <row r="118" spans="2:5">
      <c r="B118" s="48"/>
      <c r="C118" s="48"/>
      <c r="D118" s="48"/>
      <c r="E118" s="48"/>
    </row>
    <row r="119" spans="2:5">
      <c r="B119" s="48"/>
      <c r="C119" s="48"/>
      <c r="D119" s="48"/>
      <c r="E119" s="48"/>
    </row>
    <row r="120" spans="2:5">
      <c r="B120" s="48"/>
      <c r="C120" s="48"/>
      <c r="D120" s="48"/>
      <c r="E120" s="48"/>
    </row>
    <row r="121" spans="2:5">
      <c r="B121" s="48"/>
      <c r="C121" s="48"/>
      <c r="D121" s="48"/>
      <c r="E121" s="48"/>
    </row>
    <row r="122" spans="2:5">
      <c r="B122" s="48"/>
      <c r="C122" s="48"/>
      <c r="D122" s="48"/>
      <c r="E122" s="48"/>
    </row>
    <row r="123" spans="2:5">
      <c r="B123" s="48"/>
      <c r="C123" s="48"/>
      <c r="D123" s="48"/>
      <c r="E123" s="48"/>
    </row>
    <row r="124" spans="2:5">
      <c r="B124" s="48"/>
      <c r="C124" s="48"/>
      <c r="D124" s="48"/>
      <c r="E124" s="48"/>
    </row>
    <row r="125" spans="2:5">
      <c r="B125" s="48"/>
      <c r="C125" s="48"/>
      <c r="D125" s="48"/>
      <c r="E125" s="48"/>
    </row>
    <row r="126" spans="2:5">
      <c r="B126" s="48"/>
      <c r="C126" s="48"/>
      <c r="D126" s="48"/>
      <c r="E126" s="48"/>
    </row>
    <row r="127" spans="2:5">
      <c r="B127" s="48"/>
      <c r="C127" s="48"/>
      <c r="D127" s="48"/>
      <c r="E127" s="48"/>
    </row>
    <row r="128" spans="2:5">
      <c r="B128" s="48"/>
      <c r="C128" s="48"/>
      <c r="D128" s="48"/>
      <c r="E128" s="48"/>
    </row>
    <row r="129" spans="2:5">
      <c r="B129" s="48"/>
      <c r="C129" s="48"/>
      <c r="D129" s="48"/>
      <c r="E129" s="48"/>
    </row>
    <row r="130" spans="2:5">
      <c r="B130" s="48"/>
      <c r="C130" s="48"/>
      <c r="D130" s="48"/>
      <c r="E130" s="48"/>
    </row>
    <row r="131" spans="2:5">
      <c r="B131" s="48"/>
      <c r="C131" s="48"/>
      <c r="D131" s="48"/>
      <c r="E131" s="48"/>
    </row>
    <row r="132" spans="2:5">
      <c r="B132" s="48"/>
      <c r="C132" s="48"/>
      <c r="D132" s="48"/>
      <c r="E132" s="48"/>
    </row>
    <row r="133" spans="2:5">
      <c r="B133" s="48"/>
      <c r="C133" s="48"/>
      <c r="D133" s="48"/>
      <c r="E133" s="48"/>
    </row>
    <row r="134" spans="2:5">
      <c r="B134" s="48"/>
      <c r="C134" s="48"/>
      <c r="D134" s="48"/>
      <c r="E134" s="48"/>
    </row>
    <row r="135" spans="2:5">
      <c r="B135" s="48"/>
      <c r="C135" s="48"/>
      <c r="D135" s="48"/>
      <c r="E135" s="48"/>
    </row>
    <row r="136" spans="2:5">
      <c r="B136" s="48"/>
      <c r="C136" s="48"/>
      <c r="D136" s="48"/>
      <c r="E136" s="48"/>
    </row>
    <row r="137" spans="2:5">
      <c r="B137" s="48"/>
      <c r="C137" s="48"/>
      <c r="D137" s="48"/>
      <c r="E137" s="48"/>
    </row>
    <row r="138" spans="2:5">
      <c r="B138" s="48"/>
      <c r="C138" s="48"/>
      <c r="D138" s="48"/>
      <c r="E138" s="48"/>
    </row>
    <row r="139" spans="2:5">
      <c r="B139" s="48"/>
      <c r="C139" s="48"/>
      <c r="D139" s="48"/>
      <c r="E139" s="48"/>
    </row>
    <row r="140" spans="2:5">
      <c r="B140" s="48"/>
      <c r="C140" s="48"/>
      <c r="D140" s="48"/>
      <c r="E140" s="48"/>
    </row>
    <row r="141" spans="2:5">
      <c r="B141" s="48"/>
      <c r="C141" s="48"/>
      <c r="D141" s="48"/>
      <c r="E141" s="48"/>
    </row>
    <row r="142" spans="2:5">
      <c r="B142" s="48"/>
      <c r="C142" s="48"/>
      <c r="D142" s="48"/>
      <c r="E142" s="48"/>
    </row>
    <row r="143" spans="2:5">
      <c r="B143" s="48"/>
      <c r="C143" s="48"/>
      <c r="D143" s="48"/>
      <c r="E143" s="48"/>
    </row>
    <row r="144" spans="2:5">
      <c r="B144" s="48"/>
      <c r="C144" s="48"/>
      <c r="D144" s="48"/>
      <c r="E144" s="48"/>
    </row>
    <row r="145" spans="2:5">
      <c r="B145" s="48"/>
      <c r="C145" s="48"/>
      <c r="D145" s="48"/>
      <c r="E145" s="48"/>
    </row>
    <row r="146" spans="2:5">
      <c r="B146" s="48"/>
      <c r="C146" s="48"/>
      <c r="D146" s="48"/>
      <c r="E146" s="48"/>
    </row>
    <row r="147" spans="2:5">
      <c r="B147" s="48"/>
      <c r="C147" s="48"/>
      <c r="D147" s="48"/>
      <c r="E147" s="48"/>
    </row>
    <row r="148" spans="2:5">
      <c r="B148" s="48"/>
      <c r="C148" s="48"/>
      <c r="D148" s="48"/>
      <c r="E148" s="48"/>
    </row>
    <row r="149" spans="2:5">
      <c r="B149" s="48"/>
      <c r="C149" s="48"/>
      <c r="D149" s="48"/>
      <c r="E149" s="48"/>
    </row>
    <row r="150" spans="2:5">
      <c r="B150" s="48"/>
      <c r="C150" s="48"/>
      <c r="D150" s="48"/>
      <c r="E150" s="48"/>
    </row>
    <row r="151" spans="2:5">
      <c r="B151" s="48"/>
      <c r="C151" s="48"/>
      <c r="D151" s="48"/>
      <c r="E151" s="48"/>
    </row>
    <row r="152" spans="2:5">
      <c r="B152" s="48"/>
      <c r="C152" s="48"/>
      <c r="D152" s="48"/>
      <c r="E152" s="48"/>
    </row>
    <row r="153" spans="2:5">
      <c r="B153" s="48"/>
      <c r="C153" s="48"/>
      <c r="D153" s="48"/>
      <c r="E153" s="48"/>
    </row>
    <row r="154" spans="2:5">
      <c r="B154" s="48"/>
      <c r="C154" s="48"/>
      <c r="D154" s="48"/>
      <c r="E154" s="48"/>
    </row>
    <row r="155" spans="2:5">
      <c r="B155" s="48"/>
      <c r="C155" s="48"/>
      <c r="D155" s="48"/>
      <c r="E155" s="48"/>
    </row>
    <row r="156" spans="2:5">
      <c r="B156" s="48"/>
      <c r="C156" s="48"/>
      <c r="D156" s="48"/>
      <c r="E156" s="48"/>
    </row>
    <row r="157" spans="2:5">
      <c r="B157" s="48"/>
    </row>
  </sheetData>
  <customSheetViews>
    <customSheetView guid="{E00EC0C4-E70A-4D33-A9FE-7CF308F53A5C}" showRuler="0">
      <selection activeCell="C17" sqref="C17"/>
      <pageMargins left="0.75" right="0.75" top="1" bottom="1" header="0.5" footer="0.5"/>
      <headerFooter alignWithMargins="0"/>
    </customSheetView>
  </customSheetViews>
  <mergeCells count="1">
    <mergeCell ref="B15:E15"/>
  </mergeCells>
  <phoneticPr fontId="5" type="noConversion"/>
  <printOptions horizontalCentered="1"/>
  <pageMargins left="0.75" right="0.75" top="1" bottom="1" header="0.5" footer="0.5"/>
  <pageSetup scale="85" orientation="portrait" verticalDpi="1200"/>
  <headerFooter alignWithMargins="0">
    <oddFooter>&amp;L&amp;A&amp;C&amp;F&amp;R&amp;D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C49"/>
  <sheetViews>
    <sheetView zoomScaleNormal="100" workbookViewId="0">
      <selection activeCell="J18" sqref="J18"/>
    </sheetView>
  </sheetViews>
  <sheetFormatPr defaultColWidth="8.7109375" defaultRowHeight="12.75"/>
  <cols>
    <col min="1" max="1" width="6.28515625" style="48" customWidth="1"/>
    <col min="2" max="2" width="22.42578125" customWidth="1"/>
    <col min="3" max="3" width="12" customWidth="1"/>
    <col min="4" max="4" width="10.7109375" customWidth="1"/>
    <col min="5" max="16" width="8.7109375" customWidth="1"/>
    <col min="17" max="29" width="8.7109375" style="48" customWidth="1"/>
  </cols>
  <sheetData>
    <row r="1" spans="1:29">
      <c r="B1" s="48"/>
      <c r="C1" s="48"/>
      <c r="D1" s="48"/>
      <c r="E1" s="48"/>
      <c r="F1" s="48"/>
      <c r="G1" s="48"/>
      <c r="H1" s="48"/>
      <c r="I1" s="48"/>
      <c r="J1" s="48"/>
      <c r="K1" s="48"/>
      <c r="L1" s="48"/>
      <c r="M1" s="48"/>
      <c r="N1" s="48"/>
      <c r="O1" s="48"/>
      <c r="P1" s="48"/>
    </row>
    <row r="2" spans="1:29" ht="36.75" customHeight="1">
      <c r="B2" s="511" t="s">
        <v>258</v>
      </c>
      <c r="C2" s="512"/>
      <c r="D2" s="512"/>
      <c r="E2" s="512"/>
      <c r="F2" s="512"/>
      <c r="G2" s="512"/>
      <c r="H2" s="512"/>
      <c r="I2" s="512"/>
      <c r="J2" s="512"/>
      <c r="K2" s="512"/>
      <c r="L2" s="512"/>
      <c r="M2" s="48"/>
      <c r="N2" s="48"/>
      <c r="O2" s="48"/>
      <c r="P2" s="48"/>
    </row>
    <row r="3" spans="1:29">
      <c r="B3" s="370"/>
      <c r="C3" s="370"/>
      <c r="D3" s="370"/>
      <c r="E3" s="370"/>
      <c r="F3" s="370"/>
      <c r="G3" s="370"/>
      <c r="H3" s="378" t="s">
        <v>13</v>
      </c>
      <c r="I3" s="370"/>
      <c r="J3" s="370" t="s">
        <v>14</v>
      </c>
      <c r="K3" s="370"/>
      <c r="L3" s="365"/>
      <c r="M3" s="48"/>
      <c r="N3" s="48"/>
      <c r="O3" s="48"/>
      <c r="P3" s="48"/>
    </row>
    <row r="4" spans="1:29">
      <c r="B4" s="371"/>
      <c r="C4" s="371"/>
      <c r="D4" s="371"/>
      <c r="E4" s="371"/>
      <c r="F4" s="372" t="s">
        <v>15</v>
      </c>
      <c r="G4" s="371"/>
      <c r="H4" s="372" t="s">
        <v>16</v>
      </c>
      <c r="I4" s="372" t="s">
        <v>17</v>
      </c>
      <c r="J4" s="372" t="s">
        <v>18</v>
      </c>
      <c r="K4" s="371"/>
      <c r="L4" s="366"/>
      <c r="M4" s="48"/>
      <c r="N4" s="48"/>
      <c r="O4" s="48"/>
      <c r="P4" s="48"/>
    </row>
    <row r="5" spans="1:29">
      <c r="B5" s="372" t="s">
        <v>19</v>
      </c>
      <c r="C5" s="372" t="s">
        <v>20</v>
      </c>
      <c r="D5" s="371" t="s">
        <v>21</v>
      </c>
      <c r="E5" s="372" t="s">
        <v>22</v>
      </c>
      <c r="F5" s="372" t="s">
        <v>23</v>
      </c>
      <c r="G5" s="372" t="s">
        <v>24</v>
      </c>
      <c r="H5" s="372" t="s">
        <v>25</v>
      </c>
      <c r="I5" s="372" t="s">
        <v>26</v>
      </c>
      <c r="J5" s="372" t="s">
        <v>27</v>
      </c>
      <c r="K5" s="372" t="s">
        <v>28</v>
      </c>
      <c r="L5" s="367" t="s">
        <v>29</v>
      </c>
      <c r="M5" s="48"/>
      <c r="N5" s="48"/>
      <c r="O5" s="48"/>
      <c r="P5" s="48"/>
    </row>
    <row r="6" spans="1:29">
      <c r="B6" s="372" t="s">
        <v>30</v>
      </c>
      <c r="C6" s="372" t="s">
        <v>31</v>
      </c>
      <c r="D6" s="371" t="s">
        <v>32</v>
      </c>
      <c r="E6" s="372" t="s">
        <v>137</v>
      </c>
      <c r="F6" s="372" t="s">
        <v>33</v>
      </c>
      <c r="G6" s="372" t="s">
        <v>31</v>
      </c>
      <c r="H6" s="372" t="s">
        <v>34</v>
      </c>
      <c r="I6" s="372" t="s">
        <v>35</v>
      </c>
      <c r="J6" s="372" t="s">
        <v>36</v>
      </c>
      <c r="K6" s="372" t="s">
        <v>37</v>
      </c>
      <c r="L6" s="367" t="s">
        <v>38</v>
      </c>
      <c r="M6" s="48"/>
      <c r="N6" s="48"/>
      <c r="O6" s="48"/>
      <c r="P6" s="48"/>
    </row>
    <row r="7" spans="1:29" s="58" customFormat="1">
      <c r="A7" s="57"/>
      <c r="B7" s="373"/>
      <c r="C7" s="376" t="s">
        <v>39</v>
      </c>
      <c r="D7" s="376"/>
      <c r="E7" s="376"/>
      <c r="F7" s="373"/>
      <c r="G7" s="373" t="s">
        <v>39</v>
      </c>
      <c r="H7" s="373" t="s">
        <v>39</v>
      </c>
      <c r="I7" s="373"/>
      <c r="J7" s="376" t="s">
        <v>40</v>
      </c>
      <c r="K7" s="373"/>
      <c r="L7" s="368"/>
      <c r="M7" s="57"/>
      <c r="N7" s="57"/>
      <c r="O7" s="57"/>
      <c r="P7" s="57"/>
      <c r="Q7" s="57"/>
      <c r="R7" s="57"/>
      <c r="S7" s="57"/>
      <c r="T7" s="57"/>
      <c r="U7" s="57"/>
      <c r="V7" s="57"/>
      <c r="W7" s="57"/>
      <c r="X7" s="57"/>
      <c r="Y7" s="57"/>
      <c r="Z7" s="57"/>
      <c r="AA7" s="57"/>
      <c r="AB7" s="57"/>
      <c r="AC7" s="57"/>
    </row>
    <row r="8" spans="1:29" ht="17.25" customHeight="1">
      <c r="B8" s="374" t="s">
        <v>257</v>
      </c>
      <c r="C8" s="377"/>
      <c r="D8" s="377"/>
      <c r="E8" s="377"/>
      <c r="F8" s="375"/>
      <c r="G8" s="375"/>
      <c r="H8" s="375"/>
      <c r="I8" s="375"/>
      <c r="J8" s="377"/>
      <c r="K8" s="375"/>
      <c r="L8" s="369"/>
      <c r="M8" s="48"/>
      <c r="N8" s="48"/>
      <c r="O8" s="48"/>
      <c r="P8" s="48"/>
    </row>
    <row r="9" spans="1:29" ht="15" customHeight="1">
      <c r="B9" s="380" t="s">
        <v>43</v>
      </c>
      <c r="C9" s="381">
        <v>15500</v>
      </c>
      <c r="D9" s="381">
        <v>5</v>
      </c>
      <c r="E9" s="381">
        <v>15</v>
      </c>
      <c r="F9" s="380">
        <v>260</v>
      </c>
      <c r="G9" s="380">
        <v>2000</v>
      </c>
      <c r="H9" s="380">
        <v>850</v>
      </c>
      <c r="I9" s="380">
        <v>15</v>
      </c>
      <c r="J9" s="381">
        <v>2.6</v>
      </c>
      <c r="K9" s="380">
        <v>1.2</v>
      </c>
      <c r="L9" s="382">
        <v>29</v>
      </c>
      <c r="M9" s="48"/>
      <c r="N9" s="48"/>
      <c r="O9" s="48"/>
      <c r="P9" s="48"/>
    </row>
    <row r="10" spans="1:29" ht="15" customHeight="1">
      <c r="B10" s="380" t="s">
        <v>44</v>
      </c>
      <c r="C10" s="381">
        <v>18000</v>
      </c>
      <c r="D10" s="381">
        <v>5</v>
      </c>
      <c r="E10" s="381">
        <v>15</v>
      </c>
      <c r="F10" s="380">
        <v>100</v>
      </c>
      <c r="G10" s="380">
        <v>3000</v>
      </c>
      <c r="H10" s="380">
        <v>750</v>
      </c>
      <c r="I10" s="380">
        <v>9</v>
      </c>
      <c r="J10" s="381">
        <v>0.6</v>
      </c>
      <c r="K10" s="380">
        <v>1.2</v>
      </c>
      <c r="L10" s="382">
        <v>26</v>
      </c>
      <c r="M10" s="48"/>
      <c r="N10" s="48"/>
      <c r="O10" s="48"/>
      <c r="P10" s="48"/>
    </row>
    <row r="11" spans="1:29" ht="15" customHeight="1">
      <c r="B11" s="380" t="s">
        <v>45</v>
      </c>
      <c r="C11" s="381">
        <v>10000</v>
      </c>
      <c r="D11" s="381">
        <v>5</v>
      </c>
      <c r="E11" s="381">
        <v>15</v>
      </c>
      <c r="F11" s="380">
        <v>220</v>
      </c>
      <c r="G11" s="380">
        <v>2000</v>
      </c>
      <c r="H11" s="380">
        <v>500</v>
      </c>
      <c r="I11" s="380">
        <v>12</v>
      </c>
      <c r="J11" s="381">
        <v>0.6</v>
      </c>
      <c r="K11" s="380">
        <v>1.2</v>
      </c>
      <c r="L11" s="382">
        <v>12</v>
      </c>
      <c r="M11" s="48"/>
      <c r="N11" s="48"/>
      <c r="O11" s="48"/>
      <c r="P11" s="48"/>
    </row>
    <row r="12" spans="1:29" ht="15" customHeight="1">
      <c r="B12" s="380" t="s">
        <v>157</v>
      </c>
      <c r="C12" s="381">
        <v>12000</v>
      </c>
      <c r="D12" s="381">
        <v>15</v>
      </c>
      <c r="E12" s="381">
        <v>12</v>
      </c>
      <c r="F12" s="380">
        <v>170</v>
      </c>
      <c r="G12" s="380">
        <v>4000</v>
      </c>
      <c r="H12" s="380">
        <v>2500</v>
      </c>
      <c r="I12" s="380">
        <v>12</v>
      </c>
      <c r="J12" s="381">
        <v>3</v>
      </c>
      <c r="K12" s="380">
        <v>1.2</v>
      </c>
      <c r="L12" s="382">
        <v>14</v>
      </c>
      <c r="M12" s="48"/>
      <c r="N12" s="48"/>
      <c r="O12" s="48"/>
      <c r="P12" s="48"/>
    </row>
    <row r="13" spans="1:29" ht="18" customHeight="1">
      <c r="B13" s="374" t="s">
        <v>256</v>
      </c>
      <c r="C13" s="377"/>
      <c r="D13" s="377"/>
      <c r="E13" s="377"/>
      <c r="F13" s="375"/>
      <c r="G13" s="375"/>
      <c r="H13" s="375"/>
      <c r="I13" s="375"/>
      <c r="J13" s="377"/>
      <c r="K13" s="375"/>
      <c r="L13" s="369"/>
      <c r="M13" s="48"/>
      <c r="N13" s="48"/>
      <c r="O13" s="48"/>
      <c r="P13" s="48"/>
    </row>
    <row r="14" spans="1:29" ht="15" customHeight="1">
      <c r="B14" s="380" t="s">
        <v>130</v>
      </c>
      <c r="C14" s="381">
        <v>25000</v>
      </c>
      <c r="D14" s="381">
        <v>10</v>
      </c>
      <c r="E14" s="381">
        <v>12</v>
      </c>
      <c r="F14" s="380">
        <v>175</v>
      </c>
      <c r="G14" s="380">
        <v>1500</v>
      </c>
      <c r="H14" s="380">
        <v>5000</v>
      </c>
      <c r="I14" s="380">
        <v>12</v>
      </c>
      <c r="J14" s="381">
        <v>3</v>
      </c>
      <c r="K14" s="380">
        <v>1.2</v>
      </c>
      <c r="L14" s="382">
        <v>15</v>
      </c>
      <c r="M14" s="48"/>
      <c r="N14" s="48"/>
      <c r="O14" s="48"/>
      <c r="P14" s="48"/>
    </row>
    <row r="15" spans="1:29" ht="15" customHeight="1">
      <c r="B15" s="380" t="s">
        <v>160</v>
      </c>
      <c r="C15" s="381">
        <v>14000</v>
      </c>
      <c r="D15" s="381">
        <v>5</v>
      </c>
      <c r="E15" s="381">
        <v>10</v>
      </c>
      <c r="F15" s="380">
        <v>165</v>
      </c>
      <c r="G15" s="380">
        <v>2500</v>
      </c>
      <c r="H15" s="380">
        <v>1000</v>
      </c>
      <c r="I15" s="380">
        <v>8</v>
      </c>
      <c r="J15" s="381">
        <v>0.6</v>
      </c>
      <c r="K15" s="380">
        <v>1.1000000000000001</v>
      </c>
      <c r="L15" s="382">
        <v>46</v>
      </c>
      <c r="M15" s="48"/>
      <c r="N15" s="48"/>
      <c r="O15" s="48"/>
      <c r="P15" s="48"/>
    </row>
    <row r="16" spans="1:29" ht="16.5" customHeight="1">
      <c r="B16" s="374" t="s">
        <v>297</v>
      </c>
      <c r="C16" s="377"/>
      <c r="D16" s="377"/>
      <c r="E16" s="377"/>
      <c r="F16" s="375"/>
      <c r="G16" s="375"/>
      <c r="H16" s="375"/>
      <c r="I16" s="375"/>
      <c r="J16" s="377"/>
      <c r="K16" s="375"/>
      <c r="L16" s="369"/>
      <c r="M16" s="48"/>
      <c r="N16" s="48"/>
      <c r="O16" s="48"/>
      <c r="P16" s="48"/>
    </row>
    <row r="17" spans="2:16" ht="15" customHeight="1">
      <c r="B17" s="380" t="s">
        <v>42</v>
      </c>
      <c r="C17" s="381">
        <v>15000</v>
      </c>
      <c r="D17" s="381">
        <v>15</v>
      </c>
      <c r="E17" s="381">
        <v>20</v>
      </c>
      <c r="F17" s="380">
        <v>150</v>
      </c>
      <c r="G17" s="380">
        <v>3500</v>
      </c>
      <c r="H17" s="380">
        <v>200</v>
      </c>
      <c r="I17" s="380">
        <v>3</v>
      </c>
      <c r="J17" s="381">
        <v>1.2</v>
      </c>
      <c r="K17" s="380">
        <v>1.1000000000000001</v>
      </c>
      <c r="L17" s="382"/>
      <c r="M17" s="48"/>
      <c r="N17" s="48"/>
      <c r="O17" s="48"/>
      <c r="P17" s="48"/>
    </row>
    <row r="18" spans="2:16" ht="15" customHeight="1">
      <c r="B18" s="380" t="s">
        <v>8</v>
      </c>
      <c r="C18" s="381">
        <v>10000</v>
      </c>
      <c r="D18" s="381">
        <v>20</v>
      </c>
      <c r="E18" s="381">
        <v>15</v>
      </c>
      <c r="F18" s="380">
        <v>350</v>
      </c>
      <c r="G18" s="380">
        <v>2000</v>
      </c>
      <c r="H18" s="380">
        <v>1000</v>
      </c>
      <c r="I18" s="380">
        <v>8</v>
      </c>
      <c r="J18" s="381">
        <v>1.1000000000000001</v>
      </c>
      <c r="K18" s="380">
        <v>1.1000000000000001</v>
      </c>
      <c r="L18" s="382"/>
      <c r="M18" s="48"/>
      <c r="N18" s="48"/>
      <c r="O18" s="48"/>
      <c r="P18" s="48"/>
    </row>
    <row r="19" spans="2:16" ht="15" customHeight="1">
      <c r="B19" s="380" t="s">
        <v>170</v>
      </c>
      <c r="C19" s="381">
        <v>60000</v>
      </c>
      <c r="D19" s="381">
        <v>10</v>
      </c>
      <c r="E19" s="381">
        <v>12</v>
      </c>
      <c r="F19" s="380">
        <v>200</v>
      </c>
      <c r="G19" s="380">
        <v>8000</v>
      </c>
      <c r="H19" s="380">
        <v>2000</v>
      </c>
      <c r="I19" s="380">
        <v>9</v>
      </c>
      <c r="J19" s="381">
        <v>1.2</v>
      </c>
      <c r="K19" s="380">
        <v>1.1000000000000001</v>
      </c>
      <c r="L19" s="382"/>
      <c r="M19" s="48"/>
      <c r="N19" s="48"/>
      <c r="O19" s="48"/>
      <c r="P19" s="48"/>
    </row>
    <row r="20" spans="2:16" ht="15" customHeight="1">
      <c r="B20" s="380" t="s">
        <v>161</v>
      </c>
      <c r="C20" s="381">
        <v>75000</v>
      </c>
      <c r="D20" s="381">
        <v>8</v>
      </c>
      <c r="E20" s="381">
        <v>12</v>
      </c>
      <c r="F20" s="380">
        <v>140</v>
      </c>
      <c r="G20" s="380">
        <v>5000</v>
      </c>
      <c r="H20" s="380">
        <v>5000</v>
      </c>
      <c r="I20" s="380">
        <v>8</v>
      </c>
      <c r="J20" s="381">
        <v>2.6</v>
      </c>
      <c r="K20" s="380">
        <v>1.2</v>
      </c>
      <c r="L20" s="382">
        <v>9.5</v>
      </c>
      <c r="M20" s="48"/>
      <c r="N20" s="48"/>
      <c r="O20" s="48"/>
      <c r="P20" s="48"/>
    </row>
    <row r="21" spans="2:16" ht="15" customHeight="1">
      <c r="B21" s="380" t="s">
        <v>161</v>
      </c>
      <c r="C21" s="381">
        <v>75000</v>
      </c>
      <c r="D21" s="381">
        <v>8</v>
      </c>
      <c r="E21" s="381">
        <v>12</v>
      </c>
      <c r="F21" s="380">
        <v>140</v>
      </c>
      <c r="G21" s="380">
        <v>5000</v>
      </c>
      <c r="H21" s="380">
        <v>5000</v>
      </c>
      <c r="I21" s="380">
        <v>8</v>
      </c>
      <c r="J21" s="381">
        <v>2.6</v>
      </c>
      <c r="K21" s="380">
        <v>1.2</v>
      </c>
      <c r="L21" s="382">
        <v>9.5</v>
      </c>
      <c r="M21" s="48"/>
      <c r="N21" s="48"/>
      <c r="O21" s="48"/>
      <c r="P21" s="48"/>
    </row>
    <row r="22" spans="2:16" ht="15" customHeight="1">
      <c r="B22" s="380" t="s">
        <v>41</v>
      </c>
      <c r="C22" s="381">
        <v>6500</v>
      </c>
      <c r="D22" s="381">
        <v>0</v>
      </c>
      <c r="E22" s="381">
        <v>10</v>
      </c>
      <c r="F22" s="380">
        <v>200</v>
      </c>
      <c r="G22" s="380">
        <v>1000</v>
      </c>
      <c r="H22" s="380">
        <v>100</v>
      </c>
      <c r="I22" s="380">
        <v>1.2</v>
      </c>
      <c r="J22" s="381">
        <v>1.2</v>
      </c>
      <c r="K22" s="380">
        <v>1.1000000000000001</v>
      </c>
      <c r="L22" s="382"/>
      <c r="M22" s="48"/>
      <c r="N22" s="48"/>
      <c r="O22" s="48"/>
      <c r="P22" s="48"/>
    </row>
    <row r="23" spans="2:16" ht="15" customHeight="1">
      <c r="B23" s="374" t="s">
        <v>46</v>
      </c>
      <c r="C23" s="377"/>
      <c r="D23" s="377"/>
      <c r="E23" s="377"/>
      <c r="F23" s="375" t="s">
        <v>47</v>
      </c>
      <c r="G23" s="375"/>
      <c r="H23" s="375"/>
      <c r="I23" s="379" t="s">
        <v>48</v>
      </c>
      <c r="J23" s="377"/>
      <c r="K23" s="375"/>
      <c r="L23" s="369"/>
      <c r="M23" s="48"/>
      <c r="N23" s="48"/>
      <c r="O23" s="48"/>
      <c r="P23" s="48"/>
    </row>
    <row r="24" spans="2:16" ht="15" customHeight="1">
      <c r="B24" s="380" t="s">
        <v>49</v>
      </c>
      <c r="C24" s="381">
        <v>20000</v>
      </c>
      <c r="D24" s="381">
        <v>15</v>
      </c>
      <c r="E24" s="381">
        <v>15</v>
      </c>
      <c r="F24" s="380">
        <v>1000</v>
      </c>
      <c r="G24" s="380">
        <v>2000</v>
      </c>
      <c r="H24" s="380">
        <v>1000</v>
      </c>
      <c r="I24" s="380">
        <v>6</v>
      </c>
      <c r="J24" s="381">
        <v>2.6</v>
      </c>
      <c r="K24" s="380">
        <v>1.2</v>
      </c>
      <c r="L24" s="382"/>
      <c r="M24" s="48"/>
      <c r="N24" s="48"/>
      <c r="O24" s="48"/>
      <c r="P24" s="48"/>
    </row>
    <row r="25" spans="2:16" ht="15" customHeight="1">
      <c r="B25" s="380" t="s">
        <v>50</v>
      </c>
      <c r="C25" s="381">
        <v>35000</v>
      </c>
      <c r="D25" s="381">
        <v>15</v>
      </c>
      <c r="E25" s="381">
        <v>15</v>
      </c>
      <c r="F25" s="380">
        <v>2000</v>
      </c>
      <c r="G25" s="380">
        <v>4500</v>
      </c>
      <c r="H25" s="380">
        <v>2000</v>
      </c>
      <c r="I25" s="380">
        <v>6</v>
      </c>
      <c r="J25" s="381">
        <v>10.1</v>
      </c>
      <c r="K25" s="380">
        <v>1.2</v>
      </c>
      <c r="L25" s="382"/>
      <c r="M25" s="48"/>
      <c r="N25" s="48"/>
      <c r="O25" s="48"/>
      <c r="P25" s="48"/>
    </row>
    <row r="26" spans="2:16" ht="15" customHeight="1">
      <c r="B26" s="380" t="s">
        <v>51</v>
      </c>
      <c r="C26" s="381">
        <v>15000</v>
      </c>
      <c r="D26" s="381">
        <v>10</v>
      </c>
      <c r="E26" s="381">
        <v>10</v>
      </c>
      <c r="F26" s="380">
        <v>1000</v>
      </c>
      <c r="G26" s="380">
        <v>3000</v>
      </c>
      <c r="H26" s="380">
        <v>400</v>
      </c>
      <c r="I26" s="380">
        <v>12</v>
      </c>
      <c r="J26" s="381">
        <v>3.8</v>
      </c>
      <c r="K26" s="380">
        <v>1.2</v>
      </c>
      <c r="L26" s="382"/>
      <c r="M26" s="48"/>
      <c r="N26" s="48"/>
      <c r="O26" s="48"/>
      <c r="P26" s="48"/>
    </row>
    <row r="27" spans="2:16" ht="15" customHeight="1">
      <c r="B27" s="380" t="s">
        <v>52</v>
      </c>
      <c r="C27" s="381">
        <v>22000</v>
      </c>
      <c r="D27" s="381">
        <v>5</v>
      </c>
      <c r="E27" s="381">
        <v>7</v>
      </c>
      <c r="F27" s="380">
        <v>12000</v>
      </c>
      <c r="G27" s="380">
        <v>7500</v>
      </c>
      <c r="H27" s="380">
        <v>1500</v>
      </c>
      <c r="I27" s="380">
        <v>12</v>
      </c>
      <c r="J27" s="381">
        <v>6.8</v>
      </c>
      <c r="K27" s="380">
        <v>1.2</v>
      </c>
      <c r="L27" s="382"/>
      <c r="M27" s="48"/>
      <c r="N27" s="48"/>
      <c r="O27" s="48"/>
      <c r="P27" s="48"/>
    </row>
    <row r="28" spans="2:16" ht="15" customHeight="1">
      <c r="B28" s="146" t="s">
        <v>355</v>
      </c>
      <c r="C28" s="48"/>
      <c r="D28" s="48"/>
      <c r="E28" s="48"/>
      <c r="F28" s="48"/>
      <c r="G28" s="48"/>
      <c r="H28" s="48"/>
      <c r="I28" s="48"/>
      <c r="J28" s="48"/>
      <c r="K28" s="48"/>
      <c r="L28" s="48"/>
      <c r="M28" s="48"/>
      <c r="N28" s="48"/>
      <c r="O28" s="48"/>
      <c r="P28" s="48"/>
    </row>
    <row r="29" spans="2:16">
      <c r="B29" s="48"/>
      <c r="C29" s="48"/>
      <c r="D29" s="48"/>
      <c r="E29" s="48"/>
      <c r="F29" s="48"/>
      <c r="G29" s="48"/>
      <c r="H29" s="48"/>
      <c r="I29" s="48"/>
      <c r="J29" s="48"/>
      <c r="K29" s="48"/>
      <c r="L29" s="48"/>
      <c r="M29" s="48"/>
      <c r="N29" s="48"/>
      <c r="O29" s="48"/>
      <c r="P29" s="48"/>
    </row>
    <row r="30" spans="2:16">
      <c r="B30" s="48"/>
      <c r="C30" s="48"/>
      <c r="D30" s="48"/>
      <c r="E30" s="48"/>
      <c r="F30" s="48"/>
      <c r="G30" s="48"/>
      <c r="H30" s="48"/>
      <c r="I30" s="48"/>
      <c r="J30" s="48"/>
      <c r="K30" s="48"/>
      <c r="L30" s="48"/>
      <c r="M30" s="48"/>
      <c r="N30" s="48"/>
      <c r="O30" s="48"/>
      <c r="P30" s="48"/>
    </row>
    <row r="31" spans="2:16">
      <c r="B31" s="48"/>
      <c r="C31" s="48"/>
      <c r="D31" s="48"/>
      <c r="E31" s="48"/>
      <c r="F31" s="48"/>
      <c r="G31" s="48"/>
      <c r="H31" s="48"/>
      <c r="I31" s="48"/>
      <c r="J31" s="48"/>
      <c r="K31" s="48"/>
      <c r="L31" s="48"/>
      <c r="M31" s="48"/>
      <c r="N31" s="48"/>
      <c r="O31" s="48"/>
      <c r="P31" s="48"/>
    </row>
    <row r="32" spans="2:16">
      <c r="B32" s="48"/>
      <c r="C32" s="48"/>
      <c r="D32" s="48"/>
      <c r="E32" s="48"/>
      <c r="F32" s="48"/>
      <c r="G32" s="48"/>
      <c r="H32" s="48"/>
      <c r="I32" s="48"/>
      <c r="J32" s="48"/>
      <c r="K32" s="48"/>
      <c r="L32" s="48"/>
      <c r="M32" s="48"/>
      <c r="N32" s="48"/>
      <c r="O32" s="48"/>
      <c r="P32" s="48"/>
    </row>
    <row r="33" spans="2:16">
      <c r="B33" s="48"/>
      <c r="C33" s="48"/>
      <c r="D33" s="48"/>
      <c r="E33" s="48"/>
      <c r="F33" s="48"/>
      <c r="G33" s="48"/>
      <c r="H33" s="48"/>
      <c r="I33" s="48"/>
      <c r="J33" s="48"/>
      <c r="K33" s="48"/>
      <c r="L33" s="48"/>
      <c r="M33" s="48"/>
      <c r="N33" s="48"/>
      <c r="O33" s="48"/>
      <c r="P33" s="48"/>
    </row>
    <row r="34" spans="2:16">
      <c r="B34" s="48"/>
      <c r="C34" s="48"/>
      <c r="D34" s="48"/>
      <c r="E34" s="48"/>
      <c r="F34" s="48"/>
      <c r="G34" s="48"/>
      <c r="H34" s="48"/>
      <c r="I34" s="48"/>
      <c r="J34" s="48"/>
      <c r="K34" s="48"/>
      <c r="L34" s="48"/>
      <c r="M34" s="48"/>
      <c r="N34" s="48"/>
      <c r="O34" s="48"/>
      <c r="P34" s="48"/>
    </row>
    <row r="35" spans="2:16">
      <c r="B35" s="48"/>
      <c r="C35" s="48"/>
      <c r="D35" s="48"/>
      <c r="E35" s="48"/>
      <c r="F35" s="48"/>
      <c r="G35" s="48"/>
      <c r="H35" s="48"/>
      <c r="I35" s="48"/>
      <c r="J35" s="48"/>
      <c r="K35" s="48"/>
      <c r="L35" s="48"/>
      <c r="M35" s="48"/>
      <c r="N35" s="48"/>
      <c r="O35" s="48"/>
      <c r="P35" s="48"/>
    </row>
    <row r="36" spans="2:16">
      <c r="B36" s="48"/>
      <c r="C36" s="48"/>
      <c r="D36" s="48"/>
      <c r="E36" s="48"/>
      <c r="F36" s="48"/>
      <c r="G36" s="48"/>
      <c r="H36" s="48"/>
      <c r="I36" s="48"/>
      <c r="J36" s="48"/>
      <c r="K36" s="48"/>
      <c r="L36" s="48"/>
      <c r="M36" s="48"/>
      <c r="N36" s="48"/>
      <c r="O36" s="48"/>
      <c r="P36" s="48"/>
    </row>
    <row r="37" spans="2:16">
      <c r="B37" s="48"/>
      <c r="C37" s="48"/>
      <c r="D37" s="48"/>
      <c r="E37" s="48"/>
      <c r="F37" s="48"/>
      <c r="G37" s="48"/>
      <c r="H37" s="48"/>
      <c r="I37" s="48"/>
      <c r="J37" s="48"/>
      <c r="K37" s="48"/>
      <c r="L37" s="48"/>
      <c r="M37" s="48"/>
      <c r="N37" s="48"/>
      <c r="O37" s="48"/>
      <c r="P37" s="48"/>
    </row>
    <row r="38" spans="2:16">
      <c r="B38" s="48"/>
      <c r="C38" s="48"/>
      <c r="D38" s="48"/>
      <c r="E38" s="48"/>
      <c r="F38" s="48"/>
      <c r="G38" s="48"/>
      <c r="H38" s="48"/>
      <c r="I38" s="48"/>
      <c r="J38" s="48"/>
      <c r="K38" s="48"/>
      <c r="L38" s="48"/>
      <c r="M38" s="48"/>
      <c r="N38" s="48"/>
      <c r="O38" s="48"/>
      <c r="P38" s="48"/>
    </row>
    <row r="39" spans="2:16">
      <c r="B39" s="48"/>
      <c r="C39" s="48"/>
      <c r="D39" s="48"/>
      <c r="E39" s="48"/>
      <c r="F39" s="48"/>
      <c r="G39" s="48"/>
      <c r="H39" s="48"/>
      <c r="I39" s="48"/>
      <c r="J39" s="48"/>
      <c r="K39" s="48"/>
      <c r="L39" s="48"/>
      <c r="M39" s="48"/>
      <c r="N39" s="48"/>
      <c r="O39" s="48"/>
      <c r="P39" s="48"/>
    </row>
    <row r="40" spans="2:16">
      <c r="B40" s="48"/>
      <c r="C40" s="48"/>
      <c r="D40" s="48"/>
      <c r="E40" s="48"/>
      <c r="F40" s="48"/>
      <c r="G40" s="48"/>
      <c r="H40" s="48"/>
      <c r="I40" s="48"/>
      <c r="J40" s="48"/>
      <c r="K40" s="48"/>
      <c r="L40" s="48"/>
      <c r="M40" s="48"/>
      <c r="N40" s="48"/>
      <c r="O40" s="48"/>
      <c r="P40" s="48"/>
    </row>
    <row r="41" spans="2:16">
      <c r="B41" s="48"/>
      <c r="C41" s="48"/>
      <c r="D41" s="48"/>
      <c r="E41" s="48"/>
      <c r="F41" s="48"/>
      <c r="G41" s="48"/>
      <c r="H41" s="48"/>
      <c r="I41" s="48"/>
      <c r="J41" s="48"/>
      <c r="K41" s="48"/>
      <c r="L41" s="48"/>
      <c r="M41" s="48"/>
      <c r="N41" s="48"/>
      <c r="O41" s="48"/>
      <c r="P41" s="48"/>
    </row>
    <row r="42" spans="2:16">
      <c r="B42" s="48"/>
      <c r="C42" s="48"/>
      <c r="D42" s="48"/>
      <c r="E42" s="48"/>
      <c r="F42" s="48"/>
      <c r="G42" s="48"/>
      <c r="H42" s="48"/>
      <c r="I42" s="48"/>
      <c r="J42" s="48"/>
      <c r="K42" s="48"/>
      <c r="L42" s="48"/>
      <c r="M42" s="48"/>
      <c r="N42" s="48"/>
      <c r="O42" s="48"/>
      <c r="P42" s="48"/>
    </row>
    <row r="43" spans="2:16">
      <c r="B43" s="48"/>
      <c r="C43" s="48"/>
      <c r="D43" s="48"/>
      <c r="E43" s="48"/>
      <c r="F43" s="48"/>
      <c r="G43" s="48"/>
      <c r="H43" s="48"/>
      <c r="I43" s="48"/>
      <c r="J43" s="48"/>
      <c r="K43" s="48"/>
      <c r="L43" s="48"/>
      <c r="M43" s="48"/>
      <c r="N43" s="48"/>
      <c r="O43" s="48"/>
      <c r="P43" s="48"/>
    </row>
    <row r="44" spans="2:16">
      <c r="B44" s="48"/>
      <c r="C44" s="48"/>
      <c r="D44" s="48"/>
      <c r="E44" s="48"/>
      <c r="F44" s="48"/>
      <c r="G44" s="48"/>
      <c r="H44" s="48"/>
      <c r="I44" s="48"/>
      <c r="J44" s="48"/>
      <c r="K44" s="48"/>
      <c r="L44" s="48"/>
      <c r="M44" s="48"/>
      <c r="N44" s="48"/>
      <c r="O44" s="48"/>
      <c r="P44" s="48"/>
    </row>
    <row r="45" spans="2:16">
      <c r="B45" s="48"/>
      <c r="C45" s="48"/>
      <c r="D45" s="48"/>
      <c r="E45" s="48"/>
      <c r="F45" s="48"/>
      <c r="G45" s="48"/>
      <c r="H45" s="48"/>
      <c r="I45" s="48"/>
      <c r="J45" s="48"/>
      <c r="K45" s="48"/>
      <c r="L45" s="48"/>
      <c r="M45" s="48"/>
      <c r="N45" s="48"/>
      <c r="O45" s="48"/>
      <c r="P45" s="48"/>
    </row>
    <row r="46" spans="2:16">
      <c r="B46" s="48"/>
      <c r="C46" s="48"/>
      <c r="D46" s="48"/>
      <c r="E46" s="48"/>
      <c r="F46" s="48"/>
      <c r="G46" s="48"/>
      <c r="H46" s="48"/>
      <c r="I46" s="48"/>
      <c r="J46" s="48"/>
      <c r="K46" s="48"/>
      <c r="L46" s="48"/>
      <c r="M46" s="48"/>
      <c r="N46" s="48"/>
      <c r="O46" s="48"/>
      <c r="P46" s="48"/>
    </row>
    <row r="47" spans="2:16">
      <c r="B47" s="48"/>
      <c r="C47" s="48"/>
      <c r="D47" s="48"/>
      <c r="E47" s="48"/>
      <c r="F47" s="48"/>
      <c r="G47" s="48"/>
      <c r="H47" s="48"/>
      <c r="I47" s="48"/>
      <c r="J47" s="48"/>
      <c r="K47" s="48"/>
      <c r="L47" s="48"/>
      <c r="M47" s="48"/>
      <c r="N47" s="48"/>
      <c r="O47" s="48"/>
      <c r="P47" s="48"/>
    </row>
    <row r="48" spans="2:16">
      <c r="B48" s="48"/>
      <c r="C48" s="48"/>
      <c r="D48" s="48"/>
      <c r="E48" s="48"/>
      <c r="F48" s="48"/>
      <c r="G48" s="48"/>
      <c r="H48" s="48"/>
      <c r="I48" s="48"/>
      <c r="J48" s="48"/>
      <c r="K48" s="48"/>
      <c r="L48" s="48"/>
      <c r="M48" s="48"/>
      <c r="N48" s="48"/>
      <c r="O48" s="48"/>
      <c r="P48" s="48"/>
    </row>
    <row r="49" spans="2:16">
      <c r="B49" s="48"/>
      <c r="C49" s="48"/>
      <c r="D49" s="48"/>
      <c r="E49" s="48"/>
      <c r="F49" s="48"/>
      <c r="G49" s="48"/>
      <c r="H49" s="48"/>
      <c r="I49" s="48"/>
      <c r="J49" s="48"/>
      <c r="K49" s="48"/>
      <c r="L49" s="48"/>
      <c r="M49" s="48"/>
      <c r="N49" s="48"/>
      <c r="O49" s="48"/>
      <c r="P49" s="48"/>
    </row>
  </sheetData>
  <customSheetViews>
    <customSheetView guid="{E00EC0C4-E70A-4D33-A9FE-7CF308F53A5C}" showPageBreaks="1" printArea="1" showRuler="0" topLeftCell="A4">
      <selection activeCell="F18" sqref="F18"/>
      <pageMargins left="0.75" right="0.75" top="1" bottom="1" header="0.5" footer="0.5"/>
      <pageSetup orientation="landscape" verticalDpi="0"/>
      <headerFooter alignWithMargins="0"/>
    </customSheetView>
    <customSheetView guid="{DF41C481-38FD-4F9F-AEF1-AE5420249928}" showRuler="0">
      <selection activeCell="D1" sqref="D1"/>
      <pageMargins left="0.75" right="0.75" top="1" bottom="1" header="0.5" footer="0.5"/>
      <pageSetup orientation="portrait" verticalDpi="0"/>
      <headerFooter alignWithMargins="0"/>
    </customSheetView>
    <customSheetView guid="{5519EDA0-AC19-11DC-BDFC-0017F2D6B148}" showPageBreaks="1">
      <selection activeCell="C27" sqref="C27"/>
      <pageMargins left="0.75" right="0.75" top="1" bottom="1" header="0.5" footer="0.5"/>
      <pageSetup orientation="portrait" verticalDpi="0"/>
      <headerFooter alignWithMargins="0"/>
    </customSheetView>
  </customSheetViews>
  <mergeCells count="1">
    <mergeCell ref="B2:L2"/>
  </mergeCells>
  <phoneticPr fontId="5" type="noConversion"/>
  <printOptions horizontalCentered="1"/>
  <pageMargins left="0.75" right="0.75" top="1" bottom="1" header="0.5" footer="0.5"/>
  <pageSetup scale="99" orientation="landscape" verticalDpi="1200"/>
  <headerFooter alignWithMargins="0">
    <oddFooter>&amp;L&amp;A&amp;C&amp;F&amp;R&amp;D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3:W110"/>
  <sheetViews>
    <sheetView topLeftCell="A44" zoomScaleNormal="100" workbookViewId="0">
      <selection activeCell="M79" sqref="M79"/>
    </sheetView>
  </sheetViews>
  <sheetFormatPr defaultColWidth="8.7109375" defaultRowHeight="12.75"/>
  <cols>
    <col min="1" max="1" width="4.28515625" style="48" customWidth="1"/>
    <col min="2" max="2" width="23.42578125" style="48" customWidth="1"/>
    <col min="3" max="3" width="12.28515625" style="48" customWidth="1"/>
    <col min="4" max="4" width="11.7109375" style="48" customWidth="1"/>
    <col min="5" max="5" width="10.28515625" style="48" customWidth="1"/>
    <col min="6" max="6" width="9.85546875" style="48" customWidth="1"/>
    <col min="7" max="7" width="11.42578125" style="48" customWidth="1"/>
    <col min="8" max="8" width="8.7109375" style="48" customWidth="1"/>
    <col min="9" max="9" width="10.28515625" style="48" customWidth="1"/>
    <col min="10" max="11" width="8.7109375" style="48" customWidth="1"/>
    <col min="12" max="12" width="11.7109375" style="48" customWidth="1"/>
    <col min="13" max="13" width="9.140625" style="48" bestFit="1" customWidth="1"/>
    <col min="14" max="16384" width="8.7109375" style="48"/>
  </cols>
  <sheetData>
    <row r="3" spans="1:23" ht="32.25" customHeight="1">
      <c r="B3" s="511" t="s">
        <v>310</v>
      </c>
      <c r="C3" s="511"/>
      <c r="D3" s="511"/>
      <c r="E3" s="511"/>
      <c r="F3" s="511"/>
      <c r="G3" s="511"/>
      <c r="H3" s="511"/>
      <c r="I3" s="511"/>
      <c r="J3" s="511"/>
      <c r="K3" s="511"/>
      <c r="L3" s="511"/>
      <c r="M3" s="511"/>
    </row>
    <row r="4" spans="1:23" s="138" customFormat="1" ht="26.25" customHeight="1">
      <c r="A4" s="137"/>
      <c r="B4" s="527" t="s">
        <v>303</v>
      </c>
      <c r="C4" s="528"/>
      <c r="D4" s="528"/>
      <c r="E4" s="528"/>
      <c r="F4" s="528"/>
      <c r="G4" s="528"/>
      <c r="H4" s="528"/>
      <c r="I4" s="528"/>
      <c r="J4" s="528"/>
      <c r="K4" s="528"/>
      <c r="L4" s="528"/>
      <c r="M4" s="529"/>
      <c r="N4" s="137"/>
      <c r="O4" s="137"/>
      <c r="P4" s="137"/>
      <c r="Q4" s="137"/>
      <c r="R4" s="137"/>
      <c r="S4" s="137"/>
      <c r="T4" s="137"/>
      <c r="U4" s="137"/>
      <c r="V4" s="137"/>
      <c r="W4" s="137"/>
    </row>
    <row r="5" spans="1:23" s="55" customFormat="1" ht="38.25">
      <c r="B5" s="383"/>
      <c r="C5" s="383"/>
      <c r="D5" s="517" t="s">
        <v>304</v>
      </c>
      <c r="E5" s="518"/>
      <c r="F5" s="519"/>
      <c r="G5" s="517" t="s">
        <v>264</v>
      </c>
      <c r="H5" s="518"/>
      <c r="I5" s="518"/>
      <c r="J5" s="518"/>
      <c r="K5" s="518"/>
      <c r="L5" s="519"/>
      <c r="M5" s="384" t="s">
        <v>265</v>
      </c>
    </row>
    <row r="6" spans="1:23" ht="51">
      <c r="B6" s="139" t="s">
        <v>46</v>
      </c>
      <c r="C6" s="140" t="s">
        <v>266</v>
      </c>
      <c r="D6" s="141" t="s">
        <v>267</v>
      </c>
      <c r="E6" s="141" t="s">
        <v>268</v>
      </c>
      <c r="F6" s="140" t="s">
        <v>269</v>
      </c>
      <c r="G6" s="142" t="s">
        <v>270</v>
      </c>
      <c r="H6" s="142" t="s">
        <v>271</v>
      </c>
      <c r="I6" s="142" t="s">
        <v>272</v>
      </c>
      <c r="J6" s="142" t="s">
        <v>273</v>
      </c>
      <c r="K6" s="142" t="s">
        <v>274</v>
      </c>
      <c r="L6" s="142" t="s">
        <v>275</v>
      </c>
      <c r="M6" s="141" t="s">
        <v>276</v>
      </c>
    </row>
    <row r="7" spans="1:23" ht="15" customHeight="1">
      <c r="B7" s="385" t="s">
        <v>279</v>
      </c>
      <c r="C7" s="385">
        <v>12000</v>
      </c>
      <c r="D7" s="386">
        <v>0.41</v>
      </c>
      <c r="E7" s="386">
        <v>0.22</v>
      </c>
      <c r="F7" s="386">
        <v>0.2</v>
      </c>
      <c r="G7" s="386">
        <v>0.3</v>
      </c>
      <c r="H7" s="386">
        <v>1.76</v>
      </c>
      <c r="I7" s="387">
        <f>+H7/HourlyMachineLabor</f>
        <v>8.7999999999999995E-2</v>
      </c>
      <c r="J7" s="386">
        <v>0.6</v>
      </c>
      <c r="K7" s="387">
        <f>+J7/2.5</f>
        <v>0.24</v>
      </c>
      <c r="L7" s="388">
        <v>0.09</v>
      </c>
      <c r="M7" s="386">
        <f>+D7+E7+F7+G7+H7+J7+L7</f>
        <v>3.58</v>
      </c>
    </row>
    <row r="8" spans="1:23" ht="15" customHeight="1">
      <c r="B8" s="385" t="s">
        <v>49</v>
      </c>
      <c r="C8" s="385">
        <v>1000</v>
      </c>
      <c r="D8" s="386">
        <v>0.24</v>
      </c>
      <c r="E8" s="386">
        <v>0.17</v>
      </c>
      <c r="F8" s="386">
        <v>0.06</v>
      </c>
      <c r="G8" s="386">
        <v>0.2</v>
      </c>
      <c r="H8" s="386">
        <v>0.2</v>
      </c>
      <c r="I8" s="387">
        <f>+H8/HourlyMachineLabor</f>
        <v>0.01</v>
      </c>
      <c r="J8" s="386">
        <v>0.1</v>
      </c>
      <c r="K8" s="387">
        <f>+J8/2.5</f>
        <v>0.04</v>
      </c>
      <c r="L8" s="388">
        <v>0.02</v>
      </c>
      <c r="M8" s="386">
        <f>+D8+E8+F8+G8+H8+J8+L8</f>
        <v>0.9900000000000001</v>
      </c>
    </row>
    <row r="9" spans="1:23" ht="15" customHeight="1">
      <c r="B9" s="385" t="s">
        <v>50</v>
      </c>
      <c r="C9" s="385">
        <v>2000</v>
      </c>
      <c r="D9" s="386">
        <v>0.41</v>
      </c>
      <c r="E9" s="386">
        <v>0.3</v>
      </c>
      <c r="F9" s="386">
        <v>0.4</v>
      </c>
      <c r="G9" s="386">
        <v>0.4</v>
      </c>
      <c r="H9" s="386">
        <v>0.4</v>
      </c>
      <c r="I9" s="387">
        <f>+H9/HourlyMachineLabor</f>
        <v>0.02</v>
      </c>
      <c r="J9" s="386">
        <v>0.17</v>
      </c>
      <c r="K9" s="387">
        <f>+J9/2.5</f>
        <v>6.8000000000000005E-2</v>
      </c>
      <c r="L9" s="388">
        <v>0.03</v>
      </c>
      <c r="M9" s="386">
        <f>+D9+E9+F9+G9+H9+J9+L9</f>
        <v>2.1099999999999994</v>
      </c>
    </row>
    <row r="10" spans="1:23" ht="15" customHeight="1">
      <c r="B10" s="385" t="s">
        <v>51</v>
      </c>
      <c r="C10" s="385">
        <v>1000</v>
      </c>
      <c r="D10" s="386">
        <v>0.24</v>
      </c>
      <c r="E10" s="386">
        <v>0.14000000000000001</v>
      </c>
      <c r="F10" s="386">
        <v>7.0000000000000007E-2</v>
      </c>
      <c r="G10" s="386">
        <v>0.08</v>
      </c>
      <c r="H10" s="386">
        <v>7.0000000000000007E-2</v>
      </c>
      <c r="I10" s="387">
        <f>+H10/HourlyMachineLabor</f>
        <v>3.5000000000000005E-3</v>
      </c>
      <c r="J10" s="386">
        <v>0.03</v>
      </c>
      <c r="K10" s="387">
        <f>+J10/2.5</f>
        <v>1.2E-2</v>
      </c>
      <c r="L10" s="388">
        <v>0</v>
      </c>
      <c r="M10" s="386">
        <f>+D10+E10+F10+G10+H10+J10+L10</f>
        <v>0.63000000000000012</v>
      </c>
    </row>
    <row r="11" spans="1:23" ht="51">
      <c r="B11" s="143" t="s">
        <v>280</v>
      </c>
      <c r="C11" s="140" t="s">
        <v>202</v>
      </c>
      <c r="D11" s="144" t="s">
        <v>267</v>
      </c>
      <c r="E11" s="144" t="s">
        <v>268</v>
      </c>
      <c r="F11" s="145" t="s">
        <v>269</v>
      </c>
      <c r="G11" s="142" t="s">
        <v>270</v>
      </c>
      <c r="H11" s="142" t="s">
        <v>271</v>
      </c>
      <c r="I11" s="142" t="s">
        <v>272</v>
      </c>
      <c r="J11" s="142" t="s">
        <v>273</v>
      </c>
      <c r="K11" s="142" t="s">
        <v>274</v>
      </c>
      <c r="L11" s="142" t="s">
        <v>275</v>
      </c>
      <c r="M11" s="144" t="s">
        <v>276</v>
      </c>
    </row>
    <row r="12" spans="1:23" ht="15" customHeight="1">
      <c r="B12" s="385" t="s">
        <v>41</v>
      </c>
      <c r="C12" s="385">
        <v>200</v>
      </c>
      <c r="D12" s="386">
        <v>0.11</v>
      </c>
      <c r="E12" s="386">
        <v>5.6000000000000001E-2</v>
      </c>
      <c r="F12" s="386">
        <v>8.9999999999999993E-3</v>
      </c>
      <c r="G12" s="386">
        <v>0.02</v>
      </c>
      <c r="H12" s="386">
        <v>0.88</v>
      </c>
      <c r="I12" s="387">
        <f>+H12/HourlyMachineLabor</f>
        <v>4.3999999999999997E-2</v>
      </c>
      <c r="J12" s="386">
        <v>0.14399999999999999</v>
      </c>
      <c r="K12" s="387">
        <f>+J12/2.5</f>
        <v>5.7599999999999998E-2</v>
      </c>
      <c r="L12" s="388">
        <v>2.1999999999999999E-2</v>
      </c>
      <c r="M12" s="386">
        <f>+D12+E12+F12+G12+H12+J12+L12</f>
        <v>1.2409999999999999</v>
      </c>
    </row>
    <row r="13" spans="1:23" ht="15" customHeight="1">
      <c r="B13" s="385" t="s">
        <v>203</v>
      </c>
      <c r="C13" s="385">
        <v>100</v>
      </c>
      <c r="D13" s="386">
        <v>0.115</v>
      </c>
      <c r="E13" s="386">
        <v>0.13900000000000001</v>
      </c>
      <c r="F13" s="386">
        <v>2.1999999999999999E-2</v>
      </c>
      <c r="G13" s="386">
        <v>0.04</v>
      </c>
      <c r="H13" s="386">
        <v>0.54400000000000004</v>
      </c>
      <c r="I13" s="387">
        <f>+H13/HourlyMachineLabor</f>
        <v>2.7200000000000002E-2</v>
      </c>
      <c r="J13" s="386">
        <v>0.22500000000000001</v>
      </c>
      <c r="K13" s="387">
        <f>+J13/2.5</f>
        <v>0.09</v>
      </c>
      <c r="L13" s="388">
        <v>3.4000000000000002E-2</v>
      </c>
      <c r="M13" s="386">
        <f>+D13+E13+F13+G13+H13+J13+L13</f>
        <v>1.1190000000000002</v>
      </c>
    </row>
    <row r="14" spans="1:23" ht="15" customHeight="1">
      <c r="B14" s="385" t="s">
        <v>161</v>
      </c>
      <c r="C14" s="385">
        <v>140</v>
      </c>
      <c r="D14" s="386">
        <v>4.37</v>
      </c>
      <c r="E14" s="386">
        <v>2.25</v>
      </c>
      <c r="F14" s="386">
        <v>0.78</v>
      </c>
      <c r="G14" s="386">
        <v>3.74</v>
      </c>
      <c r="H14" s="386">
        <v>2.5099999999999998</v>
      </c>
      <c r="I14" s="387">
        <f>+H14/HourlyMachineLabor</f>
        <v>0.1255</v>
      </c>
      <c r="J14" s="386">
        <v>2.1</v>
      </c>
      <c r="K14" s="387">
        <f>+J14/2.5</f>
        <v>0.84000000000000008</v>
      </c>
      <c r="L14" s="388">
        <v>0.31</v>
      </c>
      <c r="M14" s="386">
        <f>+D14+E14+F14+G14+H14+J14+L14</f>
        <v>16.059999999999999</v>
      </c>
    </row>
    <row r="15" spans="1:23" ht="15" customHeight="1">
      <c r="B15" s="385" t="s">
        <v>161</v>
      </c>
      <c r="C15" s="385">
        <v>140</v>
      </c>
      <c r="D15" s="386">
        <v>4.37</v>
      </c>
      <c r="E15" s="386">
        <v>2.25</v>
      </c>
      <c r="F15" s="386">
        <v>0.78</v>
      </c>
      <c r="G15" s="386">
        <v>3.74</v>
      </c>
      <c r="H15" s="386">
        <v>2.5099999999999998</v>
      </c>
      <c r="I15" s="387">
        <f>+H15/HourlyMachineLabor</f>
        <v>0.1255</v>
      </c>
      <c r="J15" s="386">
        <v>2.1</v>
      </c>
      <c r="K15" s="387">
        <f>+J15/2.5</f>
        <v>0.84000000000000008</v>
      </c>
      <c r="L15" s="388">
        <v>0.31</v>
      </c>
      <c r="M15" s="386">
        <f>+D15+E15+F15+G15+H15+J15+L15</f>
        <v>16.059999999999999</v>
      </c>
    </row>
    <row r="16" spans="1:23" ht="15" customHeight="1">
      <c r="B16" s="513" t="s">
        <v>311</v>
      </c>
      <c r="C16" s="514"/>
      <c r="D16" s="514"/>
      <c r="E16" s="514"/>
      <c r="F16" s="514"/>
      <c r="G16" s="514"/>
      <c r="H16" s="514"/>
      <c r="I16" s="514"/>
      <c r="J16" s="514"/>
      <c r="K16" s="514"/>
      <c r="L16" s="514"/>
      <c r="M16" s="515"/>
    </row>
    <row r="17" spans="2:13" ht="15" customHeight="1">
      <c r="B17" s="385" t="s">
        <v>204</v>
      </c>
      <c r="C17" s="385">
        <v>175</v>
      </c>
      <c r="D17" s="386">
        <v>0.85</v>
      </c>
      <c r="E17" s="386">
        <v>0.47</v>
      </c>
      <c r="F17" s="386">
        <v>0.16</v>
      </c>
      <c r="G17" s="386">
        <v>2.11</v>
      </c>
      <c r="H17" s="386">
        <v>1.62</v>
      </c>
      <c r="I17" s="387">
        <f t="shared" ref="I17:I23" si="0">+H17/HourlyMachineLabor</f>
        <v>8.1000000000000003E-2</v>
      </c>
      <c r="J17" s="386">
        <v>1.47</v>
      </c>
      <c r="K17" s="387">
        <f t="shared" ref="K17:K23" si="1">+J17/2.5</f>
        <v>0.58799999999999997</v>
      </c>
      <c r="L17" s="388">
        <v>0.22</v>
      </c>
      <c r="M17" s="386">
        <f>+D17+E17+F17+G17+H17+J17+L17</f>
        <v>6.8999999999999995</v>
      </c>
    </row>
    <row r="18" spans="2:13" ht="15" customHeight="1">
      <c r="B18" s="385" t="s">
        <v>43</v>
      </c>
      <c r="C18" s="385">
        <v>260</v>
      </c>
      <c r="D18" s="386">
        <v>0.17</v>
      </c>
      <c r="E18" s="386">
        <v>0.13</v>
      </c>
      <c r="F18" s="386">
        <v>0.02</v>
      </c>
      <c r="G18" s="386">
        <v>0.21</v>
      </c>
      <c r="H18" s="386">
        <v>0.76</v>
      </c>
      <c r="I18" s="387">
        <f t="shared" si="0"/>
        <v>3.7999999999999999E-2</v>
      </c>
      <c r="J18" s="386">
        <v>0.69</v>
      </c>
      <c r="K18" s="387">
        <f t="shared" si="1"/>
        <v>0.27599999999999997</v>
      </c>
      <c r="L18" s="388">
        <v>0.1</v>
      </c>
      <c r="M18" s="386">
        <f>+D18+E18+F18+G18+H18+J18+L18</f>
        <v>2.08</v>
      </c>
    </row>
    <row r="19" spans="2:13" ht="15" customHeight="1">
      <c r="B19" s="385" t="s">
        <v>157</v>
      </c>
      <c r="C19" s="385">
        <v>185</v>
      </c>
      <c r="D19" s="386">
        <v>0.38</v>
      </c>
      <c r="E19" s="386">
        <v>0.34</v>
      </c>
      <c r="F19" s="386">
        <v>0.11</v>
      </c>
      <c r="G19" s="386">
        <v>1.21</v>
      </c>
      <c r="H19" s="386">
        <v>1.62</v>
      </c>
      <c r="I19" s="387">
        <f t="shared" si="0"/>
        <v>8.1000000000000003E-2</v>
      </c>
      <c r="J19" s="386">
        <v>1.47</v>
      </c>
      <c r="K19" s="387">
        <f t="shared" si="1"/>
        <v>0.58799999999999997</v>
      </c>
      <c r="L19" s="388">
        <v>0.22</v>
      </c>
      <c r="M19" s="386">
        <f>+D19+E19+F19+G19+H19+J19+L19</f>
        <v>5.35</v>
      </c>
    </row>
    <row r="20" spans="2:13" ht="15" customHeight="1">
      <c r="B20" s="385" t="s">
        <v>160</v>
      </c>
      <c r="C20" s="385">
        <v>165</v>
      </c>
      <c r="D20" s="386">
        <v>0.18</v>
      </c>
      <c r="E20" s="386">
        <v>0.11</v>
      </c>
      <c r="F20" s="386">
        <v>0.01</v>
      </c>
      <c r="G20" s="386">
        <v>0.19</v>
      </c>
      <c r="H20" s="386">
        <v>0.48</v>
      </c>
      <c r="I20" s="387">
        <v>0.02</v>
      </c>
      <c r="J20" s="386">
        <v>0.43</v>
      </c>
      <c r="K20" s="387">
        <f>+J20/2.5</f>
        <v>0.17199999999999999</v>
      </c>
      <c r="L20" s="388">
        <v>7.0000000000000007E-2</v>
      </c>
      <c r="M20" s="386">
        <f>+D20+E20+F20+G20+H20+J20+L20</f>
        <v>1.47</v>
      </c>
    </row>
    <row r="21" spans="2:13" ht="15" customHeight="1">
      <c r="B21" s="513" t="s">
        <v>313</v>
      </c>
      <c r="C21" s="514"/>
      <c r="D21" s="514"/>
      <c r="E21" s="514"/>
      <c r="F21" s="514"/>
      <c r="G21" s="514"/>
      <c r="H21" s="514"/>
      <c r="I21" s="514"/>
      <c r="J21" s="514"/>
      <c r="K21" s="514"/>
      <c r="L21" s="514"/>
      <c r="M21" s="515"/>
    </row>
    <row r="22" spans="2:13" ht="15" customHeight="1">
      <c r="B22" s="385" t="s">
        <v>314</v>
      </c>
      <c r="C22" s="385">
        <v>100</v>
      </c>
      <c r="D22" s="386">
        <v>1.22</v>
      </c>
      <c r="E22" s="386">
        <v>0.79</v>
      </c>
      <c r="F22" s="386">
        <v>0.1</v>
      </c>
      <c r="G22" s="386">
        <v>0.68</v>
      </c>
      <c r="H22" s="386">
        <v>0.85</v>
      </c>
      <c r="I22" s="387">
        <f t="shared" si="0"/>
        <v>4.2499999999999996E-2</v>
      </c>
      <c r="J22" s="386">
        <v>0.87</v>
      </c>
      <c r="K22" s="387">
        <f t="shared" si="1"/>
        <v>0.34799999999999998</v>
      </c>
      <c r="L22" s="388">
        <v>0.13</v>
      </c>
      <c r="M22" s="386">
        <f>+D22+E22+F22+G22+H22+J22+L22</f>
        <v>4.6399999999999997</v>
      </c>
    </row>
    <row r="23" spans="2:13" ht="15" customHeight="1">
      <c r="B23" s="385" t="s">
        <v>45</v>
      </c>
      <c r="C23" s="385">
        <v>220</v>
      </c>
      <c r="D23" s="386">
        <v>1.1599999999999999</v>
      </c>
      <c r="E23" s="386">
        <v>0.75</v>
      </c>
      <c r="F23" s="386">
        <v>0.08</v>
      </c>
      <c r="G23" s="386">
        <v>0.45</v>
      </c>
      <c r="H23" s="386">
        <v>1.9</v>
      </c>
      <c r="I23" s="387">
        <f t="shared" si="0"/>
        <v>9.5000000000000001E-2</v>
      </c>
      <c r="J23" s="386">
        <v>1.73</v>
      </c>
      <c r="K23" s="387">
        <f t="shared" si="1"/>
        <v>0.69199999999999995</v>
      </c>
      <c r="L23" s="388">
        <v>0.26</v>
      </c>
      <c r="M23" s="386">
        <f>+D23+E23+F23+G23+H23+J23+L23</f>
        <v>6.33</v>
      </c>
    </row>
    <row r="24" spans="2:13">
      <c r="B24" s="245" t="s">
        <v>1</v>
      </c>
    </row>
    <row r="25" spans="2:13">
      <c r="B25" s="146"/>
    </row>
    <row r="26" spans="2:13" ht="24.75" customHeight="1">
      <c r="B26" s="520" t="s">
        <v>315</v>
      </c>
      <c r="C26" s="520"/>
      <c r="D26" s="520"/>
    </row>
    <row r="27" spans="2:13" ht="24.75" customHeight="1">
      <c r="B27" s="521" t="s">
        <v>0</v>
      </c>
      <c r="C27" s="522"/>
      <c r="D27" s="523"/>
    </row>
    <row r="28" spans="2:13" ht="14.25">
      <c r="B28" s="524" t="s">
        <v>316</v>
      </c>
      <c r="C28" s="525"/>
      <c r="D28" s="526"/>
    </row>
    <row r="29" spans="2:13" ht="14.25">
      <c r="B29" s="524" t="s">
        <v>324</v>
      </c>
      <c r="C29" s="525"/>
      <c r="D29" s="526"/>
    </row>
    <row r="30" spans="2:13" ht="14.25">
      <c r="B30" s="524" t="s">
        <v>325</v>
      </c>
      <c r="C30" s="525"/>
      <c r="D30" s="526"/>
    </row>
    <row r="31" spans="2:13" ht="14.25">
      <c r="B31" s="524" t="s">
        <v>326</v>
      </c>
      <c r="C31" s="525"/>
      <c r="D31" s="526"/>
    </row>
    <row r="34" spans="2:13" ht="32.1" customHeight="1">
      <c r="B34" s="516" t="s">
        <v>281</v>
      </c>
      <c r="C34" s="516"/>
      <c r="D34" s="516"/>
      <c r="E34" s="516"/>
      <c r="F34" s="516"/>
      <c r="G34" s="516"/>
      <c r="H34" s="516"/>
      <c r="I34" s="516"/>
      <c r="J34" s="516"/>
      <c r="K34" s="516"/>
      <c r="L34" s="516"/>
      <c r="M34" s="516"/>
    </row>
    <row r="35" spans="2:13" ht="38.25">
      <c r="B35" s="383"/>
      <c r="C35" s="383"/>
      <c r="D35" s="517" t="s">
        <v>304</v>
      </c>
      <c r="E35" s="518"/>
      <c r="F35" s="519"/>
      <c r="G35" s="517" t="s">
        <v>264</v>
      </c>
      <c r="H35" s="518"/>
      <c r="I35" s="518"/>
      <c r="J35" s="518"/>
      <c r="K35" s="518"/>
      <c r="L35" s="519"/>
      <c r="M35" s="384" t="s">
        <v>265</v>
      </c>
    </row>
    <row r="36" spans="2:13" ht="51">
      <c r="B36" s="139" t="s">
        <v>46</v>
      </c>
      <c r="C36" s="140" t="s">
        <v>266</v>
      </c>
      <c r="D36" s="141" t="s">
        <v>267</v>
      </c>
      <c r="E36" s="141" t="s">
        <v>268</v>
      </c>
      <c r="F36" s="140" t="s">
        <v>269</v>
      </c>
      <c r="G36" s="142" t="s">
        <v>270</v>
      </c>
      <c r="H36" s="142" t="s">
        <v>271</v>
      </c>
      <c r="I36" s="142" t="s">
        <v>272</v>
      </c>
      <c r="J36" s="142" t="s">
        <v>273</v>
      </c>
      <c r="K36" s="142" t="s">
        <v>274</v>
      </c>
      <c r="L36" s="142" t="s">
        <v>275</v>
      </c>
      <c r="M36" s="141" t="s">
        <v>276</v>
      </c>
    </row>
    <row r="37" spans="2:13">
      <c r="B37" s="385" t="s">
        <v>279</v>
      </c>
      <c r="C37" s="385">
        <f>$C$7</f>
        <v>12000</v>
      </c>
      <c r="D37" s="386">
        <f>$D$7</f>
        <v>0.41</v>
      </c>
      <c r="E37" s="386">
        <f>$E$7</f>
        <v>0.22</v>
      </c>
      <c r="F37" s="386">
        <f>$F$7</f>
        <v>0.2</v>
      </c>
      <c r="G37" s="386">
        <f>$G$7</f>
        <v>0.3</v>
      </c>
      <c r="H37" s="386">
        <f>$H$7</f>
        <v>1.76</v>
      </c>
      <c r="I37" s="387">
        <f>$I$7</f>
        <v>8.7999999999999995E-2</v>
      </c>
      <c r="J37" s="386">
        <f>$J$7</f>
        <v>0.6</v>
      </c>
      <c r="K37" s="387">
        <f>$K$7</f>
        <v>0.24</v>
      </c>
      <c r="L37" s="388">
        <f>$L$7</f>
        <v>0.09</v>
      </c>
      <c r="M37" s="386">
        <f>$M$7</f>
        <v>3.58</v>
      </c>
    </row>
    <row r="38" spans="2:13">
      <c r="B38" s="385" t="s">
        <v>49</v>
      </c>
      <c r="C38" s="385">
        <f>$C$8</f>
        <v>1000</v>
      </c>
      <c r="D38" s="386">
        <f>$D$8</f>
        <v>0.24</v>
      </c>
      <c r="E38" s="386">
        <f>$E$8</f>
        <v>0.17</v>
      </c>
      <c r="F38" s="386">
        <f>$F$8</f>
        <v>0.06</v>
      </c>
      <c r="G38" s="386">
        <f>$G$8</f>
        <v>0.2</v>
      </c>
      <c r="H38" s="386">
        <f>$H$8</f>
        <v>0.2</v>
      </c>
      <c r="I38" s="387">
        <f>$I$8</f>
        <v>0.01</v>
      </c>
      <c r="J38" s="386">
        <f>$J$8</f>
        <v>0.1</v>
      </c>
      <c r="K38" s="387">
        <f>$K$8</f>
        <v>0.04</v>
      </c>
      <c r="L38" s="388">
        <f>$L$8</f>
        <v>0.02</v>
      </c>
      <c r="M38" s="386">
        <f>$M$8</f>
        <v>0.9900000000000001</v>
      </c>
    </row>
    <row r="39" spans="2:13">
      <c r="B39" s="385" t="s">
        <v>50</v>
      </c>
      <c r="C39" s="385">
        <f>$C$9</f>
        <v>2000</v>
      </c>
      <c r="D39" s="386">
        <f>$D$9</f>
        <v>0.41</v>
      </c>
      <c r="E39" s="386">
        <f>$E$9</f>
        <v>0.3</v>
      </c>
      <c r="F39" s="386">
        <f>$F$9</f>
        <v>0.4</v>
      </c>
      <c r="G39" s="386">
        <f>$G$9</f>
        <v>0.4</v>
      </c>
      <c r="H39" s="386">
        <f>$H$9</f>
        <v>0.4</v>
      </c>
      <c r="I39" s="387">
        <f>$I$9</f>
        <v>0.02</v>
      </c>
      <c r="J39" s="386">
        <f>$J$9</f>
        <v>0.17</v>
      </c>
      <c r="K39" s="387">
        <f>$K$9</f>
        <v>6.8000000000000005E-2</v>
      </c>
      <c r="L39" s="388">
        <f>$L$9</f>
        <v>0.03</v>
      </c>
      <c r="M39" s="386">
        <f>$M$9</f>
        <v>2.1099999999999994</v>
      </c>
    </row>
    <row r="40" spans="2:13">
      <c r="B40" s="385" t="s">
        <v>51</v>
      </c>
      <c r="C40" s="385">
        <f>$C$10</f>
        <v>1000</v>
      </c>
      <c r="D40" s="386">
        <f>$D$10</f>
        <v>0.24</v>
      </c>
      <c r="E40" s="386">
        <f>$E$10</f>
        <v>0.14000000000000001</v>
      </c>
      <c r="F40" s="386">
        <f>$F$10</f>
        <v>7.0000000000000007E-2</v>
      </c>
      <c r="G40" s="386">
        <f>$G$10</f>
        <v>0.08</v>
      </c>
      <c r="H40" s="386">
        <f>$H$10</f>
        <v>7.0000000000000007E-2</v>
      </c>
      <c r="I40" s="387">
        <f>$I$10</f>
        <v>3.5000000000000005E-3</v>
      </c>
      <c r="J40" s="386">
        <f>$J$10</f>
        <v>0.03</v>
      </c>
      <c r="K40" s="387">
        <f>$K$10</f>
        <v>1.2E-2</v>
      </c>
      <c r="L40" s="388">
        <f>$L$10</f>
        <v>0</v>
      </c>
      <c r="M40" s="386">
        <f>$M$10</f>
        <v>0.63000000000000012</v>
      </c>
    </row>
    <row r="41" spans="2:13" ht="51">
      <c r="B41" s="143" t="s">
        <v>280</v>
      </c>
      <c r="C41" s="140" t="s">
        <v>202</v>
      </c>
      <c r="D41" s="144" t="s">
        <v>267</v>
      </c>
      <c r="E41" s="144" t="s">
        <v>268</v>
      </c>
      <c r="F41" s="145" t="s">
        <v>269</v>
      </c>
      <c r="G41" s="142" t="s">
        <v>270</v>
      </c>
      <c r="H41" s="142" t="s">
        <v>271</v>
      </c>
      <c r="I41" s="142" t="s">
        <v>272</v>
      </c>
      <c r="J41" s="142" t="s">
        <v>273</v>
      </c>
      <c r="K41" s="142" t="s">
        <v>274</v>
      </c>
      <c r="L41" s="142" t="s">
        <v>275</v>
      </c>
      <c r="M41" s="144" t="s">
        <v>276</v>
      </c>
    </row>
    <row r="42" spans="2:13">
      <c r="B42" s="385" t="s">
        <v>41</v>
      </c>
      <c r="C42" s="385">
        <f>$C$12</f>
        <v>200</v>
      </c>
      <c r="D42" s="386">
        <f>$D$12</f>
        <v>0.11</v>
      </c>
      <c r="E42" s="386">
        <f>$E$12</f>
        <v>5.6000000000000001E-2</v>
      </c>
      <c r="F42" s="386">
        <f>$F$12</f>
        <v>8.9999999999999993E-3</v>
      </c>
      <c r="G42" s="386">
        <f>$G$12</f>
        <v>0.02</v>
      </c>
      <c r="H42" s="386">
        <f>$H$12</f>
        <v>0.88</v>
      </c>
      <c r="I42" s="387">
        <f>$I$12</f>
        <v>4.3999999999999997E-2</v>
      </c>
      <c r="J42" s="386">
        <f>$J$12</f>
        <v>0.14399999999999999</v>
      </c>
      <c r="K42" s="387">
        <f>$K$12</f>
        <v>5.7599999999999998E-2</v>
      </c>
      <c r="L42" s="388">
        <f>$L$12</f>
        <v>2.1999999999999999E-2</v>
      </c>
      <c r="M42" s="386">
        <f>$M$12</f>
        <v>1.2409999999999999</v>
      </c>
    </row>
    <row r="43" spans="2:13">
      <c r="B43" s="385" t="s">
        <v>203</v>
      </c>
      <c r="C43" s="385">
        <f>$C$13</f>
        <v>100</v>
      </c>
      <c r="D43" s="386">
        <f>$D$13</f>
        <v>0.115</v>
      </c>
      <c r="E43" s="386">
        <f>$E$13</f>
        <v>0.13900000000000001</v>
      </c>
      <c r="F43" s="386">
        <f>$F$13</f>
        <v>2.1999999999999999E-2</v>
      </c>
      <c r="G43" s="386">
        <f>$G$13</f>
        <v>0.04</v>
      </c>
      <c r="H43" s="386">
        <f>$H$13</f>
        <v>0.54400000000000004</v>
      </c>
      <c r="I43" s="387">
        <f>$I$13</f>
        <v>2.7200000000000002E-2</v>
      </c>
      <c r="J43" s="386">
        <f>$J$13</f>
        <v>0.22500000000000001</v>
      </c>
      <c r="K43" s="387">
        <f>$K$13</f>
        <v>0.09</v>
      </c>
      <c r="L43" s="388">
        <f>$L$13</f>
        <v>3.4000000000000002E-2</v>
      </c>
      <c r="M43" s="386">
        <f>$M$13</f>
        <v>1.1190000000000002</v>
      </c>
    </row>
    <row r="44" spans="2:13">
      <c r="B44" s="513" t="s">
        <v>311</v>
      </c>
      <c r="C44" s="514"/>
      <c r="D44" s="514"/>
      <c r="E44" s="514"/>
      <c r="F44" s="514"/>
      <c r="G44" s="514"/>
      <c r="H44" s="514"/>
      <c r="I44" s="514"/>
      <c r="J44" s="514"/>
      <c r="K44" s="514"/>
      <c r="L44" s="514"/>
      <c r="M44" s="515"/>
    </row>
    <row r="45" spans="2:13">
      <c r="B45" s="385" t="s">
        <v>43</v>
      </c>
      <c r="C45" s="385">
        <f>$C$18</f>
        <v>260</v>
      </c>
      <c r="D45" s="386">
        <f>$D$18</f>
        <v>0.17</v>
      </c>
      <c r="E45" s="386">
        <f>$E$18</f>
        <v>0.13</v>
      </c>
      <c r="F45" s="386">
        <f>$F$18</f>
        <v>0.02</v>
      </c>
      <c r="G45" s="386">
        <f>$G$18</f>
        <v>0.21</v>
      </c>
      <c r="H45" s="386">
        <f>$H$18</f>
        <v>0.76</v>
      </c>
      <c r="I45" s="387">
        <f>$I$18</f>
        <v>3.7999999999999999E-2</v>
      </c>
      <c r="J45" s="386">
        <f>$J$18</f>
        <v>0.69</v>
      </c>
      <c r="K45" s="387">
        <f>$K$18</f>
        <v>0.27599999999999997</v>
      </c>
      <c r="L45" s="388">
        <f>$L$18</f>
        <v>0.1</v>
      </c>
      <c r="M45" s="386">
        <f>$M$18</f>
        <v>2.08</v>
      </c>
    </row>
    <row r="46" spans="2:13">
      <c r="B46" s="385" t="s">
        <v>43</v>
      </c>
      <c r="C46" s="385">
        <f>$C$18</f>
        <v>260</v>
      </c>
      <c r="D46" s="386">
        <f>$D$18</f>
        <v>0.17</v>
      </c>
      <c r="E46" s="386">
        <f>$E$18</f>
        <v>0.13</v>
      </c>
      <c r="F46" s="386">
        <f>$F$18</f>
        <v>0.02</v>
      </c>
      <c r="G46" s="386">
        <f>$G$18</f>
        <v>0.21</v>
      </c>
      <c r="H46" s="386">
        <f>$H$18</f>
        <v>0.76</v>
      </c>
      <c r="I46" s="387">
        <f>$I$18</f>
        <v>3.7999999999999999E-2</v>
      </c>
      <c r="J46" s="386">
        <f>$J$18</f>
        <v>0.69</v>
      </c>
      <c r="K46" s="387">
        <f>$K$18</f>
        <v>0.27599999999999997</v>
      </c>
      <c r="L46" s="388">
        <f>$L$18</f>
        <v>0.1</v>
      </c>
      <c r="M46" s="386">
        <f>$M$18</f>
        <v>2.08</v>
      </c>
    </row>
    <row r="47" spans="2:13">
      <c r="B47" s="385" t="s">
        <v>43</v>
      </c>
      <c r="C47" s="385">
        <f>$C$18</f>
        <v>260</v>
      </c>
      <c r="D47" s="386">
        <f>$D$18</f>
        <v>0.17</v>
      </c>
      <c r="E47" s="386">
        <f>$E$18</f>
        <v>0.13</v>
      </c>
      <c r="F47" s="386">
        <f>$F$18</f>
        <v>0.02</v>
      </c>
      <c r="G47" s="386">
        <f>$G$18</f>
        <v>0.21</v>
      </c>
      <c r="H47" s="386">
        <f>$H$18</f>
        <v>0.76</v>
      </c>
      <c r="I47" s="387">
        <f>$I$18</f>
        <v>3.7999999999999999E-2</v>
      </c>
      <c r="J47" s="386">
        <f>$J$18</f>
        <v>0.69</v>
      </c>
      <c r="K47" s="387">
        <f>$K$18</f>
        <v>0.27599999999999997</v>
      </c>
      <c r="L47" s="388">
        <f>$L$18</f>
        <v>0.1</v>
      </c>
      <c r="M47" s="386">
        <f>$M$18</f>
        <v>2.08</v>
      </c>
    </row>
    <row r="48" spans="2:13">
      <c r="B48" s="389" t="s">
        <v>80</v>
      </c>
      <c r="C48" s="389"/>
      <c r="D48" s="390">
        <f>$D$20</f>
        <v>0.18</v>
      </c>
      <c r="E48" s="390">
        <f>$E$20</f>
        <v>0.11</v>
      </c>
      <c r="F48" s="390">
        <f>$F$20</f>
        <v>0.01</v>
      </c>
      <c r="G48" s="390">
        <f>$G$20</f>
        <v>0.19</v>
      </c>
      <c r="H48" s="390">
        <f>$H$20</f>
        <v>0.48</v>
      </c>
      <c r="I48" s="391">
        <f>$I$20</f>
        <v>0.02</v>
      </c>
      <c r="J48" s="390">
        <f>$J$20</f>
        <v>0.43</v>
      </c>
      <c r="K48" s="391">
        <f>$K$20</f>
        <v>0.17199999999999999</v>
      </c>
      <c r="L48" s="392">
        <f>$L$20</f>
        <v>7.0000000000000007E-2</v>
      </c>
      <c r="M48" s="390">
        <f>$M$20</f>
        <v>1.47</v>
      </c>
    </row>
    <row r="49" spans="2:13">
      <c r="B49" s="513" t="s">
        <v>313</v>
      </c>
      <c r="C49" s="514"/>
      <c r="D49" s="514"/>
      <c r="E49" s="514"/>
      <c r="F49" s="514"/>
      <c r="G49" s="514"/>
      <c r="H49" s="514"/>
      <c r="I49" s="514"/>
      <c r="J49" s="514"/>
      <c r="K49" s="514"/>
      <c r="L49" s="514"/>
      <c r="M49" s="515"/>
    </row>
    <row r="50" spans="2:13">
      <c r="B50" s="385" t="s">
        <v>314</v>
      </c>
      <c r="C50" s="385">
        <f>$C$22</f>
        <v>100</v>
      </c>
      <c r="D50" s="386">
        <f>$D$22</f>
        <v>1.22</v>
      </c>
      <c r="E50" s="386">
        <f>$E$22</f>
        <v>0.79</v>
      </c>
      <c r="F50" s="386">
        <f>$F$22</f>
        <v>0.1</v>
      </c>
      <c r="G50" s="386">
        <f>$G$22</f>
        <v>0.68</v>
      </c>
      <c r="H50" s="386">
        <f>$H$22</f>
        <v>0.85</v>
      </c>
      <c r="I50" s="387">
        <f>$I$22</f>
        <v>4.2499999999999996E-2</v>
      </c>
      <c r="J50" s="386">
        <f>$J$22</f>
        <v>0.87</v>
      </c>
      <c r="K50" s="387">
        <f>$K$22</f>
        <v>0.34799999999999998</v>
      </c>
      <c r="L50" s="388">
        <f>$L$22</f>
        <v>0.13</v>
      </c>
      <c r="M50" s="386">
        <f>$M$22</f>
        <v>4.6399999999999997</v>
      </c>
    </row>
    <row r="51" spans="2:13">
      <c r="B51" s="389" t="s">
        <v>45</v>
      </c>
      <c r="C51" s="389">
        <f>$C$23</f>
        <v>220</v>
      </c>
      <c r="D51" s="390">
        <f>$D$23</f>
        <v>1.1599999999999999</v>
      </c>
      <c r="E51" s="390">
        <f>$E$23</f>
        <v>0.75</v>
      </c>
      <c r="F51" s="390">
        <f>$F$23</f>
        <v>0.08</v>
      </c>
      <c r="G51" s="390">
        <f>$G$23</f>
        <v>0.45</v>
      </c>
      <c r="H51" s="390">
        <f>$H$23</f>
        <v>1.9</v>
      </c>
      <c r="I51" s="391">
        <f>$I$23</f>
        <v>9.5000000000000001E-2</v>
      </c>
      <c r="J51" s="390">
        <f>$J$23</f>
        <v>1.73</v>
      </c>
      <c r="K51" s="391">
        <f>$K$23</f>
        <v>0.69199999999999995</v>
      </c>
      <c r="L51" s="392">
        <f>$L$23</f>
        <v>0.26</v>
      </c>
      <c r="M51" s="390">
        <f>$M$23</f>
        <v>6.33</v>
      </c>
    </row>
    <row r="52" spans="2:13" s="148" customFormat="1">
      <c r="B52" s="147" t="s">
        <v>53</v>
      </c>
      <c r="C52" s="147"/>
      <c r="D52" s="149">
        <f t="shared" ref="D52:M52" si="2">SUM(D37:D51)</f>
        <v>4.5949999999999998</v>
      </c>
      <c r="E52" s="149">
        <f t="shared" si="2"/>
        <v>3.0649999999999995</v>
      </c>
      <c r="F52" s="149">
        <f t="shared" si="2"/>
        <v>1.0110000000000001</v>
      </c>
      <c r="G52" s="149">
        <f t="shared" si="2"/>
        <v>2.99</v>
      </c>
      <c r="H52" s="149">
        <f t="shared" si="2"/>
        <v>9.363999999999999</v>
      </c>
      <c r="I52" s="241">
        <f t="shared" si="2"/>
        <v>0.46419999999999995</v>
      </c>
      <c r="J52" s="149">
        <f t="shared" si="2"/>
        <v>6.3689999999999998</v>
      </c>
      <c r="K52" s="241">
        <f t="shared" si="2"/>
        <v>2.5476000000000001</v>
      </c>
      <c r="L52" s="149">
        <f t="shared" si="2"/>
        <v>0.95600000000000007</v>
      </c>
      <c r="M52" s="149">
        <f t="shared" si="2"/>
        <v>28.35</v>
      </c>
    </row>
    <row r="54" spans="2:13" ht="14.25">
      <c r="B54" s="233" t="s">
        <v>327</v>
      </c>
    </row>
    <row r="56" spans="2:13" ht="32.1" customHeight="1">
      <c r="B56" s="516" t="s">
        <v>253</v>
      </c>
      <c r="C56" s="516"/>
      <c r="D56" s="516"/>
      <c r="E56" s="516"/>
      <c r="F56" s="516"/>
      <c r="G56" s="516"/>
      <c r="H56" s="516"/>
      <c r="I56" s="516"/>
      <c r="J56" s="516"/>
      <c r="K56" s="516"/>
      <c r="L56" s="516"/>
      <c r="M56" s="516"/>
    </row>
    <row r="57" spans="2:13" ht="38.25">
      <c r="B57" s="383"/>
      <c r="C57" s="383"/>
      <c r="D57" s="517" t="s">
        <v>304</v>
      </c>
      <c r="E57" s="518"/>
      <c r="F57" s="519"/>
      <c r="G57" s="517" t="s">
        <v>264</v>
      </c>
      <c r="H57" s="518"/>
      <c r="I57" s="518"/>
      <c r="J57" s="518"/>
      <c r="K57" s="518"/>
      <c r="L57" s="519"/>
      <c r="M57" s="384" t="s">
        <v>265</v>
      </c>
    </row>
    <row r="58" spans="2:13" ht="51">
      <c r="B58" s="139" t="s">
        <v>46</v>
      </c>
      <c r="C58" s="140" t="s">
        <v>266</v>
      </c>
      <c r="D58" s="141" t="s">
        <v>267</v>
      </c>
      <c r="E58" s="141" t="s">
        <v>268</v>
      </c>
      <c r="F58" s="140" t="s">
        <v>269</v>
      </c>
      <c r="G58" s="142" t="s">
        <v>270</v>
      </c>
      <c r="H58" s="142" t="s">
        <v>271</v>
      </c>
      <c r="I58" s="142" t="s">
        <v>272</v>
      </c>
      <c r="J58" s="142" t="s">
        <v>273</v>
      </c>
      <c r="K58" s="142" t="s">
        <v>274</v>
      </c>
      <c r="L58" s="142" t="s">
        <v>275</v>
      </c>
      <c r="M58" s="141" t="s">
        <v>276</v>
      </c>
    </row>
    <row r="59" spans="2:13">
      <c r="B59" s="385" t="s">
        <v>279</v>
      </c>
      <c r="C59" s="385">
        <f>$C$7</f>
        <v>12000</v>
      </c>
      <c r="D59" s="386">
        <f>$D$7</f>
        <v>0.41</v>
      </c>
      <c r="E59" s="386">
        <f>$E$7</f>
        <v>0.22</v>
      </c>
      <c r="F59" s="386">
        <f>$F$7</f>
        <v>0.2</v>
      </c>
      <c r="G59" s="386">
        <f>$G$7</f>
        <v>0.3</v>
      </c>
      <c r="H59" s="386">
        <f>$H$7</f>
        <v>1.76</v>
      </c>
      <c r="I59" s="387">
        <f>$I$7</f>
        <v>8.7999999999999995E-2</v>
      </c>
      <c r="J59" s="386">
        <f>$J$7</f>
        <v>0.6</v>
      </c>
      <c r="K59" s="387">
        <f>$K$7</f>
        <v>0.24</v>
      </c>
      <c r="L59" s="388">
        <f>$L$7</f>
        <v>0.09</v>
      </c>
      <c r="M59" s="386">
        <f>$M$7</f>
        <v>3.58</v>
      </c>
    </row>
    <row r="60" spans="2:13">
      <c r="B60" s="385" t="s">
        <v>49</v>
      </c>
      <c r="C60" s="385">
        <f>$C$8</f>
        <v>1000</v>
      </c>
      <c r="D60" s="386">
        <f>$D$8</f>
        <v>0.24</v>
      </c>
      <c r="E60" s="386">
        <f>$E$8</f>
        <v>0.17</v>
      </c>
      <c r="F60" s="386">
        <f>$F$8</f>
        <v>0.06</v>
      </c>
      <c r="G60" s="386">
        <f>$G$8</f>
        <v>0.2</v>
      </c>
      <c r="H60" s="386">
        <f>$H$8</f>
        <v>0.2</v>
      </c>
      <c r="I60" s="387">
        <f>$I$8</f>
        <v>0.01</v>
      </c>
      <c r="J60" s="386">
        <f>$J$8</f>
        <v>0.1</v>
      </c>
      <c r="K60" s="387">
        <f>$K$8</f>
        <v>0.04</v>
      </c>
      <c r="L60" s="388">
        <f>$L$8</f>
        <v>0.02</v>
      </c>
      <c r="M60" s="386">
        <f>$M$8</f>
        <v>0.9900000000000001</v>
      </c>
    </row>
    <row r="61" spans="2:13">
      <c r="B61" s="385" t="s">
        <v>50</v>
      </c>
      <c r="C61" s="385">
        <f>$C$9</f>
        <v>2000</v>
      </c>
      <c r="D61" s="386">
        <f>$D$9</f>
        <v>0.41</v>
      </c>
      <c r="E61" s="386">
        <f>$E$9</f>
        <v>0.3</v>
      </c>
      <c r="F61" s="386">
        <f>$F$9</f>
        <v>0.4</v>
      </c>
      <c r="G61" s="386">
        <f>$G$9</f>
        <v>0.4</v>
      </c>
      <c r="H61" s="386">
        <f>$H$9</f>
        <v>0.4</v>
      </c>
      <c r="I61" s="387">
        <f>$I$9</f>
        <v>0.02</v>
      </c>
      <c r="J61" s="386">
        <f>$J$9</f>
        <v>0.17</v>
      </c>
      <c r="K61" s="387">
        <f>$K$9</f>
        <v>6.8000000000000005E-2</v>
      </c>
      <c r="L61" s="388">
        <f>$L$9</f>
        <v>0.03</v>
      </c>
      <c r="M61" s="386">
        <f>$M$9</f>
        <v>2.1099999999999994</v>
      </c>
    </row>
    <row r="62" spans="2:13">
      <c r="B62" s="385" t="s">
        <v>51</v>
      </c>
      <c r="C62" s="385">
        <f>$C$10</f>
        <v>1000</v>
      </c>
      <c r="D62" s="386">
        <f>$D$10</f>
        <v>0.24</v>
      </c>
      <c r="E62" s="386">
        <f>$E$10</f>
        <v>0.14000000000000001</v>
      </c>
      <c r="F62" s="386">
        <f>$F$10</f>
        <v>7.0000000000000007E-2</v>
      </c>
      <c r="G62" s="386">
        <f>$G$10</f>
        <v>0.08</v>
      </c>
      <c r="H62" s="386">
        <f>$H$10</f>
        <v>7.0000000000000007E-2</v>
      </c>
      <c r="I62" s="387">
        <f>$I$10</f>
        <v>3.5000000000000005E-3</v>
      </c>
      <c r="J62" s="386">
        <f>$J$10</f>
        <v>0.03</v>
      </c>
      <c r="K62" s="387">
        <f>$K$10</f>
        <v>1.2E-2</v>
      </c>
      <c r="L62" s="388">
        <f>$L$10</f>
        <v>0</v>
      </c>
      <c r="M62" s="386">
        <f>$M$10</f>
        <v>0.63000000000000012</v>
      </c>
    </row>
    <row r="63" spans="2:13" ht="51">
      <c r="B63" s="143" t="s">
        <v>280</v>
      </c>
      <c r="C63" s="140" t="s">
        <v>202</v>
      </c>
      <c r="D63" s="144" t="s">
        <v>267</v>
      </c>
      <c r="E63" s="144" t="s">
        <v>268</v>
      </c>
      <c r="F63" s="145" t="s">
        <v>269</v>
      </c>
      <c r="G63" s="142" t="s">
        <v>270</v>
      </c>
      <c r="H63" s="142" t="s">
        <v>271</v>
      </c>
      <c r="I63" s="142" t="s">
        <v>272</v>
      </c>
      <c r="J63" s="142" t="s">
        <v>273</v>
      </c>
      <c r="K63" s="142" t="s">
        <v>274</v>
      </c>
      <c r="L63" s="142" t="s">
        <v>275</v>
      </c>
      <c r="M63" s="144" t="s">
        <v>276</v>
      </c>
    </row>
    <row r="64" spans="2:13">
      <c r="B64" s="385" t="s">
        <v>41</v>
      </c>
      <c r="C64" s="385">
        <f>$C$12</f>
        <v>200</v>
      </c>
      <c r="D64" s="386">
        <f>$D$12</f>
        <v>0.11</v>
      </c>
      <c r="E64" s="386">
        <f>$E$12</f>
        <v>5.6000000000000001E-2</v>
      </c>
      <c r="F64" s="386">
        <f>$F$12</f>
        <v>8.9999999999999993E-3</v>
      </c>
      <c r="G64" s="386">
        <f>$G$12</f>
        <v>0.02</v>
      </c>
      <c r="H64" s="386">
        <f>$H$12</f>
        <v>0.88</v>
      </c>
      <c r="I64" s="387">
        <f>$I$12</f>
        <v>4.3999999999999997E-2</v>
      </c>
      <c r="J64" s="386">
        <f>$J$12</f>
        <v>0.14399999999999999</v>
      </c>
      <c r="K64" s="387">
        <f>$K$12</f>
        <v>5.7599999999999998E-2</v>
      </c>
      <c r="L64" s="388">
        <f>$L$12</f>
        <v>2.1999999999999999E-2</v>
      </c>
      <c r="M64" s="386">
        <f>$M$12</f>
        <v>1.2409999999999999</v>
      </c>
    </row>
    <row r="65" spans="2:13">
      <c r="B65" s="385" t="s">
        <v>203</v>
      </c>
      <c r="C65" s="385">
        <f>$C$13</f>
        <v>100</v>
      </c>
      <c r="D65" s="386">
        <f>$D$13</f>
        <v>0.115</v>
      </c>
      <c r="E65" s="386">
        <f>$E$13</f>
        <v>0.13900000000000001</v>
      </c>
      <c r="F65" s="386">
        <f>$F$13</f>
        <v>2.1999999999999999E-2</v>
      </c>
      <c r="G65" s="386">
        <f>$G$13</f>
        <v>0.04</v>
      </c>
      <c r="H65" s="386">
        <f>$H$13</f>
        <v>0.54400000000000004</v>
      </c>
      <c r="I65" s="387">
        <f>$I$13</f>
        <v>2.7200000000000002E-2</v>
      </c>
      <c r="J65" s="386">
        <f>$J$13</f>
        <v>0.22500000000000001</v>
      </c>
      <c r="K65" s="387">
        <f>$K$13</f>
        <v>0.09</v>
      </c>
      <c r="L65" s="388">
        <f>$L$13</f>
        <v>3.4000000000000002E-2</v>
      </c>
      <c r="M65" s="386">
        <f>$M$13</f>
        <v>1.1190000000000002</v>
      </c>
    </row>
    <row r="66" spans="2:13">
      <c r="B66" s="385" t="s">
        <v>161</v>
      </c>
      <c r="C66" s="385">
        <f>$C$14</f>
        <v>140</v>
      </c>
      <c r="D66" s="386">
        <f>$D$14</f>
        <v>4.37</v>
      </c>
      <c r="E66" s="386">
        <f>$E$14</f>
        <v>2.25</v>
      </c>
      <c r="F66" s="386">
        <f>$F$14</f>
        <v>0.78</v>
      </c>
      <c r="G66" s="386">
        <f>$G$14</f>
        <v>3.74</v>
      </c>
      <c r="H66" s="386">
        <f>$H$14</f>
        <v>2.5099999999999998</v>
      </c>
      <c r="I66" s="387">
        <f>$I$14</f>
        <v>0.1255</v>
      </c>
      <c r="J66" s="386">
        <f>$J$14</f>
        <v>2.1</v>
      </c>
      <c r="K66" s="387">
        <f>$K$14</f>
        <v>0.84000000000000008</v>
      </c>
      <c r="L66" s="388">
        <f>$L$14</f>
        <v>0.31</v>
      </c>
      <c r="M66" s="386">
        <f>$M$14</f>
        <v>16.059999999999999</v>
      </c>
    </row>
    <row r="67" spans="2:13">
      <c r="B67" s="513" t="s">
        <v>311</v>
      </c>
      <c r="C67" s="514"/>
      <c r="D67" s="514"/>
      <c r="E67" s="514"/>
      <c r="F67" s="514"/>
      <c r="G67" s="514"/>
      <c r="H67" s="514"/>
      <c r="I67" s="514"/>
      <c r="J67" s="514"/>
      <c r="K67" s="514"/>
      <c r="L67" s="514"/>
      <c r="M67" s="515"/>
    </row>
    <row r="68" spans="2:13">
      <c r="B68" s="385" t="s">
        <v>157</v>
      </c>
      <c r="C68" s="385">
        <f>$C$19</f>
        <v>185</v>
      </c>
      <c r="D68" s="386">
        <f>$D$19</f>
        <v>0.38</v>
      </c>
      <c r="E68" s="386">
        <f>$E$19</f>
        <v>0.34</v>
      </c>
      <c r="F68" s="386">
        <f>$F$19</f>
        <v>0.11</v>
      </c>
      <c r="G68" s="386">
        <f>$G$19</f>
        <v>1.21</v>
      </c>
      <c r="H68" s="386">
        <f>$H$19</f>
        <v>1.62</v>
      </c>
      <c r="I68" s="387">
        <f>$I$19</f>
        <v>8.1000000000000003E-2</v>
      </c>
      <c r="J68" s="386">
        <f>$J$19</f>
        <v>1.47</v>
      </c>
      <c r="K68" s="387">
        <f>$K$19</f>
        <v>0.58799999999999997</v>
      </c>
      <c r="L68" s="388">
        <f>$L$19</f>
        <v>0.22</v>
      </c>
      <c r="M68" s="386">
        <f>$M$19</f>
        <v>5.35</v>
      </c>
    </row>
    <row r="69" spans="2:13">
      <c r="B69" s="385" t="s">
        <v>160</v>
      </c>
      <c r="C69" s="385"/>
      <c r="D69" s="386">
        <f>$D$20</f>
        <v>0.18</v>
      </c>
      <c r="E69" s="386">
        <f>$E$20</f>
        <v>0.11</v>
      </c>
      <c r="F69" s="386">
        <f>$F$20</f>
        <v>0.01</v>
      </c>
      <c r="G69" s="386">
        <f>$G$20</f>
        <v>0.19</v>
      </c>
      <c r="H69" s="386">
        <f>$H$20</f>
        <v>0.48</v>
      </c>
      <c r="I69" s="387">
        <f>$I$20</f>
        <v>0.02</v>
      </c>
      <c r="J69" s="386">
        <f>$J$20</f>
        <v>0.43</v>
      </c>
      <c r="K69" s="387">
        <f>$K$20</f>
        <v>0.17199999999999999</v>
      </c>
      <c r="L69" s="388">
        <f>$L$20</f>
        <v>7.0000000000000007E-2</v>
      </c>
      <c r="M69" s="386">
        <f>$M$20</f>
        <v>1.47</v>
      </c>
    </row>
    <row r="70" spans="2:13" s="55" customFormat="1">
      <c r="B70" s="147" t="s">
        <v>53</v>
      </c>
      <c r="C70" s="147"/>
      <c r="D70" s="149">
        <f>SUM(D59:D69)</f>
        <v>6.4549999999999992</v>
      </c>
      <c r="E70" s="149">
        <f t="shared" ref="E70:M70" si="3">SUM(E59:E69)</f>
        <v>3.7249999999999996</v>
      </c>
      <c r="F70" s="149">
        <f t="shared" si="3"/>
        <v>1.661</v>
      </c>
      <c r="G70" s="149">
        <f t="shared" si="3"/>
        <v>6.1800000000000006</v>
      </c>
      <c r="H70" s="149">
        <f t="shared" si="3"/>
        <v>8.4639999999999986</v>
      </c>
      <c r="I70" s="241">
        <f t="shared" si="3"/>
        <v>0.41920000000000002</v>
      </c>
      <c r="J70" s="149">
        <f t="shared" si="3"/>
        <v>5.2690000000000001</v>
      </c>
      <c r="K70" s="241">
        <f>SUM(K59:K69)</f>
        <v>2.1076000000000001</v>
      </c>
      <c r="L70" s="149">
        <f t="shared" si="3"/>
        <v>0.79600000000000004</v>
      </c>
      <c r="M70" s="149">
        <f t="shared" si="3"/>
        <v>32.549999999999997</v>
      </c>
    </row>
    <row r="72" spans="2:13" ht="14.25">
      <c r="B72" s="233" t="s">
        <v>327</v>
      </c>
    </row>
    <row r="74" spans="2:13" ht="32.1" customHeight="1">
      <c r="B74" s="516" t="s">
        <v>300</v>
      </c>
      <c r="C74" s="516"/>
      <c r="D74" s="516"/>
      <c r="E74" s="516"/>
      <c r="F74" s="516"/>
      <c r="G74" s="516"/>
      <c r="H74" s="516"/>
      <c r="I74" s="516"/>
      <c r="J74" s="516"/>
      <c r="K74" s="516"/>
      <c r="L74" s="516"/>
      <c r="M74" s="516"/>
    </row>
    <row r="75" spans="2:13" ht="38.25">
      <c r="B75" s="383"/>
      <c r="C75" s="383"/>
      <c r="D75" s="517" t="s">
        <v>304</v>
      </c>
      <c r="E75" s="518"/>
      <c r="F75" s="519"/>
      <c r="G75" s="517" t="s">
        <v>264</v>
      </c>
      <c r="H75" s="518"/>
      <c r="I75" s="518"/>
      <c r="J75" s="518"/>
      <c r="K75" s="518"/>
      <c r="L75" s="519"/>
      <c r="M75" s="384" t="s">
        <v>265</v>
      </c>
    </row>
    <row r="76" spans="2:13" ht="51">
      <c r="B76" s="139" t="s">
        <v>46</v>
      </c>
      <c r="C76" s="140" t="s">
        <v>266</v>
      </c>
      <c r="D76" s="141" t="s">
        <v>267</v>
      </c>
      <c r="E76" s="141" t="s">
        <v>268</v>
      </c>
      <c r="F76" s="140" t="s">
        <v>269</v>
      </c>
      <c r="G76" s="142" t="s">
        <v>270</v>
      </c>
      <c r="H76" s="142" t="s">
        <v>271</v>
      </c>
      <c r="I76" s="142" t="s">
        <v>272</v>
      </c>
      <c r="J76" s="142" t="s">
        <v>273</v>
      </c>
      <c r="K76" s="142" t="s">
        <v>274</v>
      </c>
      <c r="L76" s="142" t="s">
        <v>275</v>
      </c>
      <c r="M76" s="141" t="s">
        <v>276</v>
      </c>
    </row>
    <row r="77" spans="2:13">
      <c r="B77" s="385" t="s">
        <v>279</v>
      </c>
      <c r="C77" s="385">
        <f>$C$7</f>
        <v>12000</v>
      </c>
      <c r="D77" s="386">
        <f>$D$7</f>
        <v>0.41</v>
      </c>
      <c r="E77" s="386">
        <f>$E$7</f>
        <v>0.22</v>
      </c>
      <c r="F77" s="386">
        <f>$F$7</f>
        <v>0.2</v>
      </c>
      <c r="G77" s="386">
        <f>$G$7</f>
        <v>0.3</v>
      </c>
      <c r="H77" s="386">
        <f>$H$7</f>
        <v>1.76</v>
      </c>
      <c r="I77" s="387">
        <f>$I$7</f>
        <v>8.7999999999999995E-2</v>
      </c>
      <c r="J77" s="386">
        <f>$J$7</f>
        <v>0.6</v>
      </c>
      <c r="K77" s="387">
        <f>$K$7</f>
        <v>0.24</v>
      </c>
      <c r="L77" s="388">
        <f>$L$7</f>
        <v>0.09</v>
      </c>
      <c r="M77" s="386">
        <f>$M$7</f>
        <v>3.58</v>
      </c>
    </row>
    <row r="78" spans="2:13">
      <c r="B78" s="385" t="s">
        <v>49</v>
      </c>
      <c r="C78" s="385">
        <f>$C$8</f>
        <v>1000</v>
      </c>
      <c r="D78" s="386">
        <f>$D$8</f>
        <v>0.24</v>
      </c>
      <c r="E78" s="386">
        <f>$E$8</f>
        <v>0.17</v>
      </c>
      <c r="F78" s="386">
        <f>$F$8</f>
        <v>0.06</v>
      </c>
      <c r="G78" s="386">
        <f>$G$8</f>
        <v>0.2</v>
      </c>
      <c r="H78" s="386">
        <f>$H$8</f>
        <v>0.2</v>
      </c>
      <c r="I78" s="387">
        <f>$I$8</f>
        <v>0.01</v>
      </c>
      <c r="J78" s="386">
        <f>$J$8</f>
        <v>0.1</v>
      </c>
      <c r="K78" s="387">
        <f>$K$8</f>
        <v>0.04</v>
      </c>
      <c r="L78" s="388">
        <f>$L$8</f>
        <v>0.02</v>
      </c>
      <c r="M78" s="386">
        <f>$M$8</f>
        <v>0.9900000000000001</v>
      </c>
    </row>
    <row r="79" spans="2:13">
      <c r="B79" s="385" t="s">
        <v>50</v>
      </c>
      <c r="C79" s="385">
        <f>$C$9</f>
        <v>2000</v>
      </c>
      <c r="D79" s="386">
        <f>$D$9</f>
        <v>0.41</v>
      </c>
      <c r="E79" s="386">
        <f>$E$9</f>
        <v>0.3</v>
      </c>
      <c r="F79" s="386">
        <f>$F$9</f>
        <v>0.4</v>
      </c>
      <c r="G79" s="386">
        <f>$G$9</f>
        <v>0.4</v>
      </c>
      <c r="H79" s="386">
        <f>$H$9</f>
        <v>0.4</v>
      </c>
      <c r="I79" s="387">
        <f>$I$9</f>
        <v>0.02</v>
      </c>
      <c r="J79" s="386">
        <f>$J$9</f>
        <v>0.17</v>
      </c>
      <c r="K79" s="387">
        <f>$K$9</f>
        <v>6.8000000000000005E-2</v>
      </c>
      <c r="L79" s="388">
        <f>$L$9</f>
        <v>0.03</v>
      </c>
      <c r="M79" s="386">
        <f>$M$9</f>
        <v>2.1099999999999994</v>
      </c>
    </row>
    <row r="80" spans="2:13">
      <c r="B80" s="385" t="s">
        <v>51</v>
      </c>
      <c r="C80" s="385">
        <f>$C$10</f>
        <v>1000</v>
      </c>
      <c r="D80" s="386">
        <f>$D$10</f>
        <v>0.24</v>
      </c>
      <c r="E80" s="386">
        <f>$E$10</f>
        <v>0.14000000000000001</v>
      </c>
      <c r="F80" s="386">
        <f>$F$10</f>
        <v>7.0000000000000007E-2</v>
      </c>
      <c r="G80" s="386">
        <f>$G$10</f>
        <v>0.08</v>
      </c>
      <c r="H80" s="386">
        <f>$H$10</f>
        <v>7.0000000000000007E-2</v>
      </c>
      <c r="I80" s="387">
        <f>$I$10</f>
        <v>3.5000000000000005E-3</v>
      </c>
      <c r="J80" s="386">
        <f>$J$10</f>
        <v>0.03</v>
      </c>
      <c r="K80" s="387">
        <f>$K$10</f>
        <v>1.2E-2</v>
      </c>
      <c r="L80" s="388">
        <f>$L$10</f>
        <v>0</v>
      </c>
      <c r="M80" s="386">
        <f>$M$10</f>
        <v>0.63000000000000012</v>
      </c>
    </row>
    <row r="81" spans="2:13" ht="51">
      <c r="B81" s="143" t="s">
        <v>280</v>
      </c>
      <c r="C81" s="140" t="s">
        <v>202</v>
      </c>
      <c r="D81" s="144" t="s">
        <v>267</v>
      </c>
      <c r="E81" s="144" t="s">
        <v>268</v>
      </c>
      <c r="F81" s="145" t="s">
        <v>269</v>
      </c>
      <c r="G81" s="142" t="s">
        <v>270</v>
      </c>
      <c r="H81" s="142" t="s">
        <v>271</v>
      </c>
      <c r="I81" s="142" t="s">
        <v>272</v>
      </c>
      <c r="J81" s="142" t="s">
        <v>273</v>
      </c>
      <c r="K81" s="142" t="s">
        <v>274</v>
      </c>
      <c r="L81" s="142" t="s">
        <v>275</v>
      </c>
      <c r="M81" s="144" t="s">
        <v>276</v>
      </c>
    </row>
    <row r="82" spans="2:13">
      <c r="B82" s="385" t="s">
        <v>41</v>
      </c>
      <c r="C82" s="385">
        <f>$C$12</f>
        <v>200</v>
      </c>
      <c r="D82" s="386">
        <f>$D$12</f>
        <v>0.11</v>
      </c>
      <c r="E82" s="386">
        <f>$E$12</f>
        <v>5.6000000000000001E-2</v>
      </c>
      <c r="F82" s="386">
        <f>$F$12</f>
        <v>8.9999999999999993E-3</v>
      </c>
      <c r="G82" s="386">
        <f>$G$12</f>
        <v>0.02</v>
      </c>
      <c r="H82" s="386">
        <f>$H$12</f>
        <v>0.88</v>
      </c>
      <c r="I82" s="387">
        <f>$I$12</f>
        <v>4.3999999999999997E-2</v>
      </c>
      <c r="J82" s="386">
        <f>$J$12</f>
        <v>0.14399999999999999</v>
      </c>
      <c r="K82" s="387">
        <f>$K$12</f>
        <v>5.7599999999999998E-2</v>
      </c>
      <c r="L82" s="388">
        <f>$L$12</f>
        <v>2.1999999999999999E-2</v>
      </c>
      <c r="M82" s="386">
        <f>$M$12</f>
        <v>1.2409999999999999</v>
      </c>
    </row>
    <row r="83" spans="2:13">
      <c r="B83" s="385" t="s">
        <v>203</v>
      </c>
      <c r="C83" s="385">
        <f>$C$13</f>
        <v>100</v>
      </c>
      <c r="D83" s="386">
        <f>$D$13</f>
        <v>0.115</v>
      </c>
      <c r="E83" s="386">
        <f>$E$13</f>
        <v>0.13900000000000001</v>
      </c>
      <c r="F83" s="386">
        <f>$F$13</f>
        <v>2.1999999999999999E-2</v>
      </c>
      <c r="G83" s="386">
        <f>$G$13</f>
        <v>0.04</v>
      </c>
      <c r="H83" s="386">
        <f>$H$13</f>
        <v>0.54400000000000004</v>
      </c>
      <c r="I83" s="387">
        <f>$I$13</f>
        <v>2.7200000000000002E-2</v>
      </c>
      <c r="J83" s="386">
        <f>$J$13</f>
        <v>0.22500000000000001</v>
      </c>
      <c r="K83" s="387">
        <f>$K$13</f>
        <v>0.09</v>
      </c>
      <c r="L83" s="388">
        <f>$L$13</f>
        <v>3.4000000000000002E-2</v>
      </c>
      <c r="M83" s="386">
        <f>$M$13</f>
        <v>1.1190000000000002</v>
      </c>
    </row>
    <row r="84" spans="2:13">
      <c r="B84" s="513" t="s">
        <v>311</v>
      </c>
      <c r="C84" s="514"/>
      <c r="D84" s="514"/>
      <c r="E84" s="514"/>
      <c r="F84" s="514"/>
      <c r="G84" s="514"/>
      <c r="H84" s="514"/>
      <c r="I84" s="514"/>
      <c r="J84" s="514"/>
      <c r="K84" s="514"/>
      <c r="L84" s="514"/>
      <c r="M84" s="515"/>
    </row>
    <row r="85" spans="2:13">
      <c r="B85" s="385" t="s">
        <v>160</v>
      </c>
      <c r="C85" s="385"/>
      <c r="D85" s="386">
        <f>$D$20</f>
        <v>0.18</v>
      </c>
      <c r="E85" s="386">
        <f>$E$20</f>
        <v>0.11</v>
      </c>
      <c r="F85" s="386">
        <f>$F$20</f>
        <v>0.01</v>
      </c>
      <c r="G85" s="386">
        <f>$G$20</f>
        <v>0.19</v>
      </c>
      <c r="H85" s="386">
        <f>$H$20</f>
        <v>0.48</v>
      </c>
      <c r="I85" s="387">
        <f>$I$20</f>
        <v>0.02</v>
      </c>
      <c r="J85" s="386">
        <f>$J$20</f>
        <v>0.43</v>
      </c>
      <c r="K85" s="387">
        <f>$K$20</f>
        <v>0.17199999999999999</v>
      </c>
      <c r="L85" s="388">
        <f>$L$20</f>
        <v>7.0000000000000007E-2</v>
      </c>
      <c r="M85" s="386">
        <f>$M$20</f>
        <v>1.47</v>
      </c>
    </row>
    <row r="86" spans="2:13">
      <c r="B86" s="385" t="s">
        <v>160</v>
      </c>
      <c r="C86" s="385"/>
      <c r="D86" s="386">
        <f>$D$20</f>
        <v>0.18</v>
      </c>
      <c r="E86" s="386">
        <f>$E$20</f>
        <v>0.11</v>
      </c>
      <c r="F86" s="386">
        <f>$F$20</f>
        <v>0.01</v>
      </c>
      <c r="G86" s="386">
        <f>$G$20</f>
        <v>0.19</v>
      </c>
      <c r="H86" s="386">
        <f>$H$20</f>
        <v>0.48</v>
      </c>
      <c r="I86" s="387">
        <f>$I$20</f>
        <v>0.02</v>
      </c>
      <c r="J86" s="386">
        <f>$J$20</f>
        <v>0.43</v>
      </c>
      <c r="K86" s="387">
        <f>$K$20</f>
        <v>0.17199999999999999</v>
      </c>
      <c r="L86" s="388">
        <f>$L$20</f>
        <v>7.0000000000000007E-2</v>
      </c>
      <c r="M86" s="386">
        <f>$M$20</f>
        <v>1.47</v>
      </c>
    </row>
    <row r="87" spans="2:13">
      <c r="B87" s="385" t="s">
        <v>160</v>
      </c>
      <c r="C87" s="385"/>
      <c r="D87" s="386">
        <f>$D$20</f>
        <v>0.18</v>
      </c>
      <c r="E87" s="386">
        <f>$E$20</f>
        <v>0.11</v>
      </c>
      <c r="F87" s="386">
        <f>$F$20</f>
        <v>0.01</v>
      </c>
      <c r="G87" s="386">
        <f>$G$20</f>
        <v>0.19</v>
      </c>
      <c r="H87" s="386">
        <f>$H$20</f>
        <v>0.48</v>
      </c>
      <c r="I87" s="387">
        <f>$I$20</f>
        <v>0.02</v>
      </c>
      <c r="J87" s="386">
        <f>$J$20</f>
        <v>0.43</v>
      </c>
      <c r="K87" s="387">
        <f>$K$20</f>
        <v>0.17199999999999999</v>
      </c>
      <c r="L87" s="388">
        <f>$L$20</f>
        <v>7.0000000000000007E-2</v>
      </c>
      <c r="M87" s="386">
        <f>$M$20</f>
        <v>1.47</v>
      </c>
    </row>
    <row r="88" spans="2:13">
      <c r="B88" s="385" t="s">
        <v>160</v>
      </c>
      <c r="C88" s="385"/>
      <c r="D88" s="386">
        <f>$D$20</f>
        <v>0.18</v>
      </c>
      <c r="E88" s="386">
        <f>$E$20</f>
        <v>0.11</v>
      </c>
      <c r="F88" s="386">
        <f>$F$20</f>
        <v>0.01</v>
      </c>
      <c r="G88" s="386">
        <f>$G$20</f>
        <v>0.19</v>
      </c>
      <c r="H88" s="386">
        <f>$H$20</f>
        <v>0.48</v>
      </c>
      <c r="I88" s="387">
        <f>$I$20</f>
        <v>0.02</v>
      </c>
      <c r="J88" s="386">
        <f>$J$20</f>
        <v>0.43</v>
      </c>
      <c r="K88" s="387">
        <f>$K$20</f>
        <v>0.17199999999999999</v>
      </c>
      <c r="L88" s="388">
        <f>$L$20</f>
        <v>7.0000000000000007E-2</v>
      </c>
      <c r="M88" s="386">
        <f>$M$20</f>
        <v>1.47</v>
      </c>
    </row>
    <row r="89" spans="2:13">
      <c r="B89" s="147" t="s">
        <v>53</v>
      </c>
      <c r="C89" s="147"/>
      <c r="D89" s="149">
        <f>SUM(D77:D88)</f>
        <v>2.2450000000000001</v>
      </c>
      <c r="E89" s="149">
        <f t="shared" ref="E89:M89" si="4">SUM(E77:E88)</f>
        <v>1.4650000000000003</v>
      </c>
      <c r="F89" s="149">
        <f t="shared" si="4"/>
        <v>0.80100000000000005</v>
      </c>
      <c r="G89" s="149">
        <f t="shared" si="4"/>
        <v>1.7999999999999998</v>
      </c>
      <c r="H89" s="149">
        <f t="shared" si="4"/>
        <v>5.7740000000000009</v>
      </c>
      <c r="I89" s="241">
        <f t="shared" si="4"/>
        <v>0.2727</v>
      </c>
      <c r="J89" s="149">
        <f t="shared" si="4"/>
        <v>2.9890000000000003</v>
      </c>
      <c r="K89" s="241">
        <f t="shared" si="4"/>
        <v>1.1955999999999998</v>
      </c>
      <c r="L89" s="149">
        <f t="shared" si="4"/>
        <v>0.47600000000000003</v>
      </c>
      <c r="M89" s="149">
        <f t="shared" si="4"/>
        <v>15.550000000000002</v>
      </c>
    </row>
    <row r="91" spans="2:13" ht="14.25">
      <c r="B91" s="233" t="s">
        <v>327</v>
      </c>
    </row>
    <row r="93" spans="2:13" ht="32.1" customHeight="1">
      <c r="B93" s="516" t="s">
        <v>301</v>
      </c>
      <c r="C93" s="516"/>
      <c r="D93" s="516"/>
      <c r="E93" s="516"/>
      <c r="F93" s="516"/>
      <c r="G93" s="516"/>
      <c r="H93" s="516"/>
      <c r="I93" s="516"/>
      <c r="J93" s="516"/>
      <c r="K93" s="516"/>
      <c r="L93" s="516"/>
      <c r="M93" s="516"/>
    </row>
    <row r="94" spans="2:13" ht="38.25">
      <c r="B94" s="383"/>
      <c r="C94" s="383"/>
      <c r="D94" s="517" t="s">
        <v>304</v>
      </c>
      <c r="E94" s="518"/>
      <c r="F94" s="519"/>
      <c r="G94" s="517" t="s">
        <v>264</v>
      </c>
      <c r="H94" s="518"/>
      <c r="I94" s="518"/>
      <c r="J94" s="518"/>
      <c r="K94" s="518"/>
      <c r="L94" s="519"/>
      <c r="M94" s="384" t="s">
        <v>265</v>
      </c>
    </row>
    <row r="95" spans="2:13" ht="51">
      <c r="B95" s="139" t="s">
        <v>46</v>
      </c>
      <c r="C95" s="140" t="s">
        <v>266</v>
      </c>
      <c r="D95" s="141" t="s">
        <v>267</v>
      </c>
      <c r="E95" s="141" t="s">
        <v>268</v>
      </c>
      <c r="F95" s="140" t="s">
        <v>269</v>
      </c>
      <c r="G95" s="142" t="s">
        <v>270</v>
      </c>
      <c r="H95" s="142" t="s">
        <v>271</v>
      </c>
      <c r="I95" s="142" t="s">
        <v>272</v>
      </c>
      <c r="J95" s="142" t="s">
        <v>273</v>
      </c>
      <c r="K95" s="142" t="s">
        <v>274</v>
      </c>
      <c r="L95" s="142" t="s">
        <v>275</v>
      </c>
      <c r="M95" s="141" t="s">
        <v>276</v>
      </c>
    </row>
    <row r="96" spans="2:13">
      <c r="B96" s="385" t="s">
        <v>279</v>
      </c>
      <c r="C96" s="385">
        <f>$C$7</f>
        <v>12000</v>
      </c>
      <c r="D96" s="386">
        <f>$D$7</f>
        <v>0.41</v>
      </c>
      <c r="E96" s="386">
        <f>$E$7</f>
        <v>0.22</v>
      </c>
      <c r="F96" s="386">
        <f>$F$7</f>
        <v>0.2</v>
      </c>
      <c r="G96" s="386">
        <f>$G$7</f>
        <v>0.3</v>
      </c>
      <c r="H96" s="386">
        <f>$H$7</f>
        <v>1.76</v>
      </c>
      <c r="I96" s="387">
        <f>$I$7</f>
        <v>8.7999999999999995E-2</v>
      </c>
      <c r="J96" s="386">
        <f>$J$7</f>
        <v>0.6</v>
      </c>
      <c r="K96" s="387">
        <f>$K$7</f>
        <v>0.24</v>
      </c>
      <c r="L96" s="388">
        <f>$L$7</f>
        <v>0.09</v>
      </c>
      <c r="M96" s="386">
        <f>$M$7</f>
        <v>3.58</v>
      </c>
    </row>
    <row r="97" spans="2:13">
      <c r="B97" s="385" t="s">
        <v>49</v>
      </c>
      <c r="C97" s="385">
        <f>$C$8</f>
        <v>1000</v>
      </c>
      <c r="D97" s="386">
        <f>$D$8</f>
        <v>0.24</v>
      </c>
      <c r="E97" s="386">
        <f>$E$8</f>
        <v>0.17</v>
      </c>
      <c r="F97" s="386">
        <f>$F$8</f>
        <v>0.06</v>
      </c>
      <c r="G97" s="386">
        <f>$G$8</f>
        <v>0.2</v>
      </c>
      <c r="H97" s="386">
        <f>$H$8</f>
        <v>0.2</v>
      </c>
      <c r="I97" s="387">
        <f>$I$8</f>
        <v>0.01</v>
      </c>
      <c r="J97" s="386">
        <f>$J$8</f>
        <v>0.1</v>
      </c>
      <c r="K97" s="387">
        <f>$K$8</f>
        <v>0.04</v>
      </c>
      <c r="L97" s="388">
        <f>$L$8</f>
        <v>0.02</v>
      </c>
      <c r="M97" s="386">
        <f>$M$8</f>
        <v>0.9900000000000001</v>
      </c>
    </row>
    <row r="98" spans="2:13">
      <c r="B98" s="385" t="s">
        <v>50</v>
      </c>
      <c r="C98" s="385">
        <f>$C$9</f>
        <v>2000</v>
      </c>
      <c r="D98" s="386">
        <f>$D$9</f>
        <v>0.41</v>
      </c>
      <c r="E98" s="386">
        <f>$E$9</f>
        <v>0.3</v>
      </c>
      <c r="F98" s="386">
        <f>$F$9</f>
        <v>0.4</v>
      </c>
      <c r="G98" s="386">
        <f>$G$9</f>
        <v>0.4</v>
      </c>
      <c r="H98" s="386">
        <f>$H$9</f>
        <v>0.4</v>
      </c>
      <c r="I98" s="387">
        <f>$I$9</f>
        <v>0.02</v>
      </c>
      <c r="J98" s="386">
        <f>$J$9</f>
        <v>0.17</v>
      </c>
      <c r="K98" s="387">
        <f>$K$9</f>
        <v>6.8000000000000005E-2</v>
      </c>
      <c r="L98" s="388">
        <f>$L$9</f>
        <v>0.03</v>
      </c>
      <c r="M98" s="386">
        <f>$M$9</f>
        <v>2.1099999999999994</v>
      </c>
    </row>
    <row r="99" spans="2:13">
      <c r="B99" s="385" t="s">
        <v>51</v>
      </c>
      <c r="C99" s="385">
        <f>$C$10</f>
        <v>1000</v>
      </c>
      <c r="D99" s="386">
        <f>$D$10</f>
        <v>0.24</v>
      </c>
      <c r="E99" s="386">
        <f>$E$10</f>
        <v>0.14000000000000001</v>
      </c>
      <c r="F99" s="386">
        <f>$F$10</f>
        <v>7.0000000000000007E-2</v>
      </c>
      <c r="G99" s="386">
        <f>$G$10</f>
        <v>0.08</v>
      </c>
      <c r="H99" s="386">
        <f>$H$10</f>
        <v>7.0000000000000007E-2</v>
      </c>
      <c r="I99" s="387">
        <f>$I$10</f>
        <v>3.5000000000000005E-3</v>
      </c>
      <c r="J99" s="386">
        <f>$J$10</f>
        <v>0.03</v>
      </c>
      <c r="K99" s="387">
        <f>$K$10</f>
        <v>1.2E-2</v>
      </c>
      <c r="L99" s="388">
        <f>$L$10</f>
        <v>0</v>
      </c>
      <c r="M99" s="386">
        <f>$M$10</f>
        <v>0.63000000000000012</v>
      </c>
    </row>
    <row r="100" spans="2:13" ht="51">
      <c r="B100" s="143" t="s">
        <v>280</v>
      </c>
      <c r="C100" s="140" t="s">
        <v>202</v>
      </c>
      <c r="D100" s="144" t="s">
        <v>267</v>
      </c>
      <c r="E100" s="144" t="s">
        <v>268</v>
      </c>
      <c r="F100" s="145" t="s">
        <v>269</v>
      </c>
      <c r="G100" s="142" t="s">
        <v>270</v>
      </c>
      <c r="H100" s="142" t="s">
        <v>271</v>
      </c>
      <c r="I100" s="142" t="s">
        <v>272</v>
      </c>
      <c r="J100" s="142" t="s">
        <v>273</v>
      </c>
      <c r="K100" s="142" t="s">
        <v>274</v>
      </c>
      <c r="L100" s="142" t="s">
        <v>275</v>
      </c>
      <c r="M100" s="144" t="s">
        <v>276</v>
      </c>
    </row>
    <row r="101" spans="2:13">
      <c r="B101" s="385" t="s">
        <v>41</v>
      </c>
      <c r="C101" s="385">
        <f>$C$12</f>
        <v>200</v>
      </c>
      <c r="D101" s="386">
        <f>$D$12</f>
        <v>0.11</v>
      </c>
      <c r="E101" s="386">
        <f>$E$12</f>
        <v>5.6000000000000001E-2</v>
      </c>
      <c r="F101" s="386">
        <f>$F$12</f>
        <v>8.9999999999999993E-3</v>
      </c>
      <c r="G101" s="386">
        <f>$G$12</f>
        <v>0.02</v>
      </c>
      <c r="H101" s="386">
        <f>$H$12</f>
        <v>0.88</v>
      </c>
      <c r="I101" s="387">
        <f>$I$12</f>
        <v>4.3999999999999997E-2</v>
      </c>
      <c r="J101" s="386">
        <f>$J$12</f>
        <v>0.14399999999999999</v>
      </c>
      <c r="K101" s="387">
        <f>$K$12</f>
        <v>5.7599999999999998E-2</v>
      </c>
      <c r="L101" s="388">
        <f>$L$12</f>
        <v>2.1999999999999999E-2</v>
      </c>
      <c r="M101" s="386">
        <f>$M$12</f>
        <v>1.2409999999999999</v>
      </c>
    </row>
    <row r="102" spans="2:13">
      <c r="B102" s="385" t="s">
        <v>203</v>
      </c>
      <c r="C102" s="385">
        <f>$C$13</f>
        <v>100</v>
      </c>
      <c r="D102" s="386">
        <f>$D$13</f>
        <v>0.115</v>
      </c>
      <c r="E102" s="386">
        <f>$E$13</f>
        <v>0.13900000000000001</v>
      </c>
      <c r="F102" s="386">
        <f>$F$13</f>
        <v>2.1999999999999999E-2</v>
      </c>
      <c r="G102" s="386">
        <f>$G$13</f>
        <v>0.04</v>
      </c>
      <c r="H102" s="386">
        <f>$H$13</f>
        <v>0.54400000000000004</v>
      </c>
      <c r="I102" s="387">
        <f>$I$13</f>
        <v>2.7200000000000002E-2</v>
      </c>
      <c r="J102" s="386">
        <f>$J$13</f>
        <v>0.22500000000000001</v>
      </c>
      <c r="K102" s="387">
        <f>$K$13</f>
        <v>0.09</v>
      </c>
      <c r="L102" s="388">
        <f>$L$13</f>
        <v>3.4000000000000002E-2</v>
      </c>
      <c r="M102" s="386">
        <f>$M$13</f>
        <v>1.1190000000000002</v>
      </c>
    </row>
    <row r="103" spans="2:13">
      <c r="B103" s="385" t="s">
        <v>161</v>
      </c>
      <c r="C103" s="385">
        <f>$C$14</f>
        <v>140</v>
      </c>
      <c r="D103" s="386">
        <f>$D$14</f>
        <v>4.37</v>
      </c>
      <c r="E103" s="386">
        <f>$E$14</f>
        <v>2.25</v>
      </c>
      <c r="F103" s="386">
        <f>$F$14</f>
        <v>0.78</v>
      </c>
      <c r="G103" s="386">
        <f>$G$14</f>
        <v>3.74</v>
      </c>
      <c r="H103" s="386">
        <f>$H$14</f>
        <v>2.5099999999999998</v>
      </c>
      <c r="I103" s="387">
        <f>$I$14</f>
        <v>0.1255</v>
      </c>
      <c r="J103" s="386">
        <f>$J$14</f>
        <v>2.1</v>
      </c>
      <c r="K103" s="387">
        <f>$K$14</f>
        <v>0.84000000000000008</v>
      </c>
      <c r="L103" s="388">
        <f>$L$14</f>
        <v>0.31</v>
      </c>
      <c r="M103" s="386">
        <f>$M$14</f>
        <v>16.059999999999999</v>
      </c>
    </row>
    <row r="104" spans="2:13">
      <c r="B104" s="513" t="s">
        <v>311</v>
      </c>
      <c r="C104" s="514"/>
      <c r="D104" s="514"/>
      <c r="E104" s="514"/>
      <c r="F104" s="514"/>
      <c r="G104" s="514"/>
      <c r="H104" s="514"/>
      <c r="I104" s="514"/>
      <c r="J104" s="514"/>
      <c r="K104" s="514"/>
      <c r="L104" s="514"/>
      <c r="M104" s="515"/>
    </row>
    <row r="105" spans="2:13">
      <c r="B105" s="385" t="s">
        <v>204</v>
      </c>
      <c r="C105" s="385">
        <f>$C$17</f>
        <v>175</v>
      </c>
      <c r="D105" s="386">
        <f>$D$17</f>
        <v>0.85</v>
      </c>
      <c r="E105" s="386">
        <f>$E$17</f>
        <v>0.47</v>
      </c>
      <c r="F105" s="386">
        <f>$F$17</f>
        <v>0.16</v>
      </c>
      <c r="G105" s="386">
        <f>$G$17</f>
        <v>2.11</v>
      </c>
      <c r="H105" s="386">
        <f>$H$17</f>
        <v>1.62</v>
      </c>
      <c r="I105" s="387">
        <f>$I$17</f>
        <v>8.1000000000000003E-2</v>
      </c>
      <c r="J105" s="386">
        <f>$J$17</f>
        <v>1.47</v>
      </c>
      <c r="K105" s="387">
        <f>$K$17</f>
        <v>0.58799999999999997</v>
      </c>
      <c r="L105" s="388">
        <f>$L$17</f>
        <v>0.22</v>
      </c>
      <c r="M105" s="386">
        <f>$M$17</f>
        <v>6.8999999999999995</v>
      </c>
    </row>
    <row r="106" spans="2:13">
      <c r="B106" s="385" t="s">
        <v>160</v>
      </c>
      <c r="C106" s="385">
        <f>$C$20</f>
        <v>165</v>
      </c>
      <c r="D106" s="386">
        <f>$D$20</f>
        <v>0.18</v>
      </c>
      <c r="E106" s="386">
        <f>$E$20</f>
        <v>0.11</v>
      </c>
      <c r="F106" s="386">
        <f>$F$20</f>
        <v>0.01</v>
      </c>
      <c r="G106" s="386">
        <f>$G$20</f>
        <v>0.19</v>
      </c>
      <c r="H106" s="386">
        <f>$H$20</f>
        <v>0.48</v>
      </c>
      <c r="I106" s="387">
        <f>$I$20</f>
        <v>0.02</v>
      </c>
      <c r="J106" s="386">
        <f>$J$20</f>
        <v>0.43</v>
      </c>
      <c r="K106" s="387">
        <f>$K$20</f>
        <v>0.17199999999999999</v>
      </c>
      <c r="L106" s="388">
        <f>$L$20</f>
        <v>7.0000000000000007E-2</v>
      </c>
      <c r="M106" s="386">
        <f>$M$20</f>
        <v>1.47</v>
      </c>
    </row>
    <row r="107" spans="2:13">
      <c r="B107" s="385" t="s">
        <v>160</v>
      </c>
      <c r="C107" s="385">
        <f>$C$20</f>
        <v>165</v>
      </c>
      <c r="D107" s="386">
        <f>$D$20</f>
        <v>0.18</v>
      </c>
      <c r="E107" s="386">
        <f>$E$20</f>
        <v>0.11</v>
      </c>
      <c r="F107" s="386">
        <f>$F$20</f>
        <v>0.01</v>
      </c>
      <c r="G107" s="386">
        <f>$G$20</f>
        <v>0.19</v>
      </c>
      <c r="H107" s="386">
        <f>$H$20</f>
        <v>0.48</v>
      </c>
      <c r="I107" s="387">
        <f>$I$20</f>
        <v>0.02</v>
      </c>
      <c r="J107" s="386">
        <f>$J$20</f>
        <v>0.43</v>
      </c>
      <c r="K107" s="387">
        <f>$K$20</f>
        <v>0.17199999999999999</v>
      </c>
      <c r="L107" s="388">
        <f>$L$20</f>
        <v>7.0000000000000007E-2</v>
      </c>
      <c r="M107" s="386">
        <f>$M$20</f>
        <v>1.47</v>
      </c>
    </row>
    <row r="108" spans="2:13">
      <c r="B108" s="147" t="s">
        <v>53</v>
      </c>
      <c r="C108" s="147"/>
      <c r="D108" s="149">
        <f t="shared" ref="D108:M108" si="5">SUM(D96:D107)</f>
        <v>7.1049999999999986</v>
      </c>
      <c r="E108" s="149">
        <f t="shared" si="5"/>
        <v>3.9649999999999999</v>
      </c>
      <c r="F108" s="149">
        <f t="shared" si="5"/>
        <v>1.7209999999999999</v>
      </c>
      <c r="G108" s="149">
        <f t="shared" si="5"/>
        <v>7.2700000000000014</v>
      </c>
      <c r="H108" s="149">
        <f t="shared" si="5"/>
        <v>8.9439999999999991</v>
      </c>
      <c r="I108" s="147">
        <f t="shared" si="5"/>
        <v>0.43920000000000003</v>
      </c>
      <c r="J108" s="149">
        <f t="shared" si="5"/>
        <v>5.6989999999999998</v>
      </c>
      <c r="K108" s="147">
        <f>SUM(K96:K107)</f>
        <v>2.2796000000000003</v>
      </c>
      <c r="L108" s="149">
        <f t="shared" si="5"/>
        <v>0.8660000000000001</v>
      </c>
      <c r="M108" s="149">
        <f t="shared" si="5"/>
        <v>35.569999999999993</v>
      </c>
    </row>
    <row r="110" spans="2:13" ht="14.25">
      <c r="B110" s="233" t="s">
        <v>327</v>
      </c>
    </row>
  </sheetData>
  <customSheetViews>
    <customSheetView guid="{E00EC0C4-E70A-4D33-A9FE-7CF308F53A5C}" showPageBreaks="1" showRuler="0" topLeftCell="A7">
      <selection activeCell="G12" sqref="G12"/>
      <pageMargins left="0.75" right="0.75" top="1" bottom="1" header="0.5" footer="0.5"/>
      <pageSetup orientation="landscape" verticalDpi="0"/>
      <headerFooter alignWithMargins="0"/>
    </customSheetView>
    <customSheetView guid="{5519EDA0-AC19-11DC-BDFC-0017F2D6B148}">
      <selection activeCell="G12" sqref="G12"/>
      <pageMargins left="0.75" right="0.75" top="1" bottom="1" header="0.5" footer="0.5"/>
      <pageSetup orientation="landscape" verticalDpi="0"/>
      <headerFooter alignWithMargins="0"/>
    </customSheetView>
  </customSheetViews>
  <mergeCells count="29">
    <mergeCell ref="B21:M21"/>
    <mergeCell ref="B16:M16"/>
    <mergeCell ref="B3:M3"/>
    <mergeCell ref="B4:M4"/>
    <mergeCell ref="D5:F5"/>
    <mergeCell ref="G5:L5"/>
    <mergeCell ref="B26:D26"/>
    <mergeCell ref="B27:D27"/>
    <mergeCell ref="B34:M34"/>
    <mergeCell ref="B56:M56"/>
    <mergeCell ref="B28:D28"/>
    <mergeCell ref="B29:D29"/>
    <mergeCell ref="B30:D30"/>
    <mergeCell ref="B31:D31"/>
    <mergeCell ref="D57:F57"/>
    <mergeCell ref="G57:L57"/>
    <mergeCell ref="B67:M67"/>
    <mergeCell ref="D35:F35"/>
    <mergeCell ref="G35:L35"/>
    <mergeCell ref="B44:M44"/>
    <mergeCell ref="B49:M49"/>
    <mergeCell ref="B104:M104"/>
    <mergeCell ref="B93:M93"/>
    <mergeCell ref="D94:F94"/>
    <mergeCell ref="G94:L94"/>
    <mergeCell ref="B74:M74"/>
    <mergeCell ref="D75:F75"/>
    <mergeCell ref="G75:L75"/>
    <mergeCell ref="B84:M84"/>
  </mergeCells>
  <phoneticPr fontId="5" type="noConversion"/>
  <hyperlinks>
    <hyperlink ref="B54" location="A1" display="Back to Costs by Crop"/>
    <hyperlink ref="B72" location="A1" display="Back to Costs by Crop"/>
    <hyperlink ref="B91" location="A1" display="Back to Costs by Crop"/>
    <hyperlink ref="B110" location="A1" display="Back to Costs by Crop"/>
    <hyperlink ref="B28:D28" location="SFMC" display="Summer Fallow"/>
    <hyperlink ref="B29:D29" location="CRWWMC" display="Conventional Tillage Winter Wheat"/>
    <hyperlink ref="B30:D30" location="CFMC" display="Chemical Fallow"/>
    <hyperlink ref="B31:D31" location="RTWWMC" display="Reduced Tillage Winter Wheat"/>
  </hyperlinks>
  <printOptions horizontalCentered="1"/>
  <pageMargins left="0.75" right="0.75" top="1" bottom="1" header="0.5" footer="0.5"/>
  <pageSetup scale="83" fitToHeight="0" orientation="landscape" verticalDpi="1200"/>
  <headerFooter alignWithMargins="0">
    <oddFooter>&amp;L&amp;A&amp;C&amp;F&amp;R&amp;D</oddFooter>
  </headerFooter>
  <rowBreaks count="4" manualBreakCount="4">
    <brk id="25" min="1" max="12" man="1"/>
    <brk id="54" min="1" max="12" man="1"/>
    <brk id="73" min="1" max="12" man="1"/>
    <brk id="92" min="1" max="12" man="1"/>
  </rowBreaks>
  <ignoredErrors>
    <ignoredError sqref="C68 C106:C107" emptyCellReference="1"/>
  </ignoredErrors>
</worksheet>
</file>

<file path=xl/worksheets/sheet2.xml><?xml version="1.0" encoding="utf-8"?>
<worksheet xmlns="http://schemas.openxmlformats.org/spreadsheetml/2006/main" xmlns:r="http://schemas.openxmlformats.org/officeDocument/2006/relationships">
  <dimension ref="A1:S34"/>
  <sheetViews>
    <sheetView topLeftCell="A23" zoomScaleNormal="100" workbookViewId="0">
      <selection activeCell="B38" sqref="B38"/>
    </sheetView>
  </sheetViews>
  <sheetFormatPr defaultColWidth="89.28515625" defaultRowHeight="12.75"/>
  <cols>
    <col min="1" max="1" width="3.42578125" style="86" customWidth="1"/>
    <col min="2" max="2" width="105.28515625" style="45" customWidth="1"/>
    <col min="3" max="3" width="3.42578125" style="86" customWidth="1"/>
    <col min="4" max="4" width="89.28515625" style="86" customWidth="1"/>
    <col min="5" max="5" width="3.42578125" style="86" customWidth="1"/>
    <col min="6" max="6" width="89.28515625" style="86" customWidth="1"/>
    <col min="7" max="7" width="3.42578125" style="86" customWidth="1"/>
    <col min="8" max="8" width="89.28515625" style="86" customWidth="1"/>
    <col min="9" max="9" width="3.42578125" style="86" customWidth="1"/>
    <col min="10" max="10" width="89.28515625" style="86" customWidth="1"/>
    <col min="11" max="11" width="3.42578125" style="86" customWidth="1"/>
    <col min="12" max="12" width="89.28515625" style="86" customWidth="1"/>
    <col min="13" max="13" width="3.42578125" style="86" customWidth="1"/>
    <col min="14" max="14" width="89.28515625" style="86" customWidth="1"/>
    <col min="15" max="15" width="3.42578125" style="86" customWidth="1"/>
    <col min="16" max="16" width="89.28515625" style="86" customWidth="1"/>
    <col min="17" max="17" width="3.42578125" style="86" customWidth="1"/>
    <col min="18" max="18" width="89.28515625" style="86" customWidth="1"/>
    <col min="19" max="19" width="3.42578125" style="86" customWidth="1"/>
    <col min="20" max="20" width="89.28515625" style="45" customWidth="1"/>
    <col min="21" max="21" width="3.42578125" style="45" customWidth="1"/>
    <col min="22" max="22" width="89.28515625" style="45" customWidth="1"/>
    <col min="23" max="23" width="3.42578125" style="45" customWidth="1"/>
    <col min="24" max="24" width="89.28515625" style="45" customWidth="1"/>
    <col min="25" max="25" width="3.42578125" style="45" customWidth="1"/>
    <col min="26" max="26" width="89.28515625" style="45" customWidth="1"/>
    <col min="27" max="27" width="3.42578125" style="45" customWidth="1"/>
    <col min="28" max="28" width="89.28515625" style="45" customWidth="1"/>
    <col min="29" max="29" width="3.42578125" style="45" customWidth="1"/>
    <col min="30" max="30" width="89.28515625" style="45" customWidth="1"/>
    <col min="31" max="31" width="3.42578125" style="45" customWidth="1"/>
    <col min="32" max="32" width="89.28515625" style="45" customWidth="1"/>
    <col min="33" max="33" width="3.42578125" style="45" customWidth="1"/>
    <col min="34" max="34" width="89.28515625" style="45" customWidth="1"/>
    <col min="35" max="35" width="3.42578125" style="45" customWidth="1"/>
    <col min="36" max="36" width="89.28515625" style="45" customWidth="1"/>
    <col min="37" max="37" width="3.42578125" style="45" customWidth="1"/>
    <col min="38" max="38" width="89.28515625" style="45" customWidth="1"/>
    <col min="39" max="39" width="3.42578125" style="45" customWidth="1"/>
    <col min="40" max="40" width="89.28515625" style="45" customWidth="1"/>
    <col min="41" max="41" width="3.42578125" style="45" customWidth="1"/>
    <col min="42" max="42" width="89.28515625" style="45" customWidth="1"/>
    <col min="43" max="43" width="3.42578125" style="45" customWidth="1"/>
    <col min="44" max="44" width="89.28515625" style="45" customWidth="1"/>
    <col min="45" max="45" width="3.42578125" style="45" customWidth="1"/>
    <col min="46" max="46" width="89.28515625" style="45" customWidth="1"/>
    <col min="47" max="47" width="3.42578125" style="45" customWidth="1"/>
    <col min="48" max="48" width="89.28515625" style="45" customWidth="1"/>
    <col min="49" max="49" width="3.42578125" style="45" customWidth="1"/>
    <col min="50" max="50" width="89.28515625" style="45" customWidth="1"/>
    <col min="51" max="51" width="3.42578125" style="45" customWidth="1"/>
    <col min="52" max="52" width="89.28515625" style="45" customWidth="1"/>
    <col min="53" max="53" width="3.42578125" style="45" customWidth="1"/>
    <col min="54" max="54" width="89.28515625" style="45" customWidth="1"/>
    <col min="55" max="55" width="3.42578125" style="45" customWidth="1"/>
    <col min="56" max="56" width="89.28515625" style="45" customWidth="1"/>
    <col min="57" max="57" width="3.42578125" style="45" customWidth="1"/>
    <col min="58" max="58" width="89.28515625" style="45" customWidth="1"/>
    <col min="59" max="59" width="3.42578125" style="45" customWidth="1"/>
    <col min="60" max="60" width="89.28515625" style="45" customWidth="1"/>
    <col min="61" max="61" width="3.42578125" style="45" customWidth="1"/>
    <col min="62" max="62" width="89.28515625" style="45" customWidth="1"/>
    <col min="63" max="63" width="3.42578125" style="45" customWidth="1"/>
    <col min="64" max="64" width="89.28515625" style="45" customWidth="1"/>
    <col min="65" max="65" width="3.42578125" style="45" customWidth="1"/>
    <col min="66" max="66" width="89.28515625" style="45" customWidth="1"/>
    <col min="67" max="67" width="3.42578125" style="45" customWidth="1"/>
    <col min="68" max="68" width="89.28515625" style="45" customWidth="1"/>
    <col min="69" max="69" width="3.42578125" style="45" customWidth="1"/>
    <col min="70" max="70" width="89.28515625" style="45" customWidth="1"/>
    <col min="71" max="71" width="3.42578125" style="45" customWidth="1"/>
    <col min="72" max="72" width="89.28515625" style="45" customWidth="1"/>
    <col min="73" max="73" width="3.42578125" style="45" customWidth="1"/>
    <col min="74" max="74" width="89.28515625" style="45" customWidth="1"/>
    <col min="75" max="75" width="3.42578125" style="45" customWidth="1"/>
    <col min="76" max="76" width="89.28515625" style="45" customWidth="1"/>
    <col min="77" max="77" width="3.42578125" style="45" customWidth="1"/>
    <col min="78" max="78" width="89.28515625" style="45" customWidth="1"/>
    <col min="79" max="79" width="3.42578125" style="45" customWidth="1"/>
    <col min="80" max="80" width="89.28515625" style="45" customWidth="1"/>
    <col min="81" max="81" width="3.42578125" style="45" customWidth="1"/>
    <col min="82" max="82" width="89.28515625" style="45" customWidth="1"/>
    <col min="83" max="83" width="3.42578125" style="45" customWidth="1"/>
    <col min="84" max="84" width="89.28515625" style="45" customWidth="1"/>
    <col min="85" max="85" width="3.42578125" style="45" customWidth="1"/>
    <col min="86" max="86" width="89.28515625" style="45" customWidth="1"/>
    <col min="87" max="87" width="3.42578125" style="45" customWidth="1"/>
    <col min="88" max="88" width="89.28515625" style="45" customWidth="1"/>
    <col min="89" max="89" width="3.42578125" style="45" customWidth="1"/>
    <col min="90" max="90" width="89.28515625" style="45" customWidth="1"/>
    <col min="91" max="91" width="3.42578125" style="45" customWidth="1"/>
    <col min="92" max="92" width="89.28515625" style="45" customWidth="1"/>
    <col min="93" max="93" width="3.42578125" style="45" customWidth="1"/>
    <col min="94" max="94" width="89.28515625" style="45" customWidth="1"/>
    <col min="95" max="95" width="3.42578125" style="45" customWidth="1"/>
    <col min="96" max="96" width="89.28515625" style="45" customWidth="1"/>
    <col min="97" max="97" width="3.42578125" style="45" customWidth="1"/>
    <col min="98" max="98" width="89.28515625" style="45" customWidth="1"/>
    <col min="99" max="99" width="3.42578125" style="45" customWidth="1"/>
    <col min="100" max="100" width="89.28515625" style="45" customWidth="1"/>
    <col min="101" max="101" width="3.42578125" style="45" customWidth="1"/>
    <col min="102" max="102" width="89.28515625" style="45" customWidth="1"/>
    <col min="103" max="103" width="3.42578125" style="45" customWidth="1"/>
    <col min="104" max="104" width="89.28515625" style="45" customWidth="1"/>
    <col min="105" max="105" width="3.42578125" style="45" customWidth="1"/>
    <col min="106" max="106" width="89.28515625" style="45" customWidth="1"/>
    <col min="107" max="107" width="3.42578125" style="45" customWidth="1"/>
    <col min="108" max="108" width="89.28515625" style="45" customWidth="1"/>
    <col min="109" max="109" width="3.42578125" style="45" customWidth="1"/>
    <col min="110" max="110" width="89.28515625" style="45" customWidth="1"/>
    <col min="111" max="111" width="3.42578125" style="45" customWidth="1"/>
    <col min="112" max="112" width="89.28515625" style="45" customWidth="1"/>
    <col min="113" max="113" width="3.42578125" style="45" customWidth="1"/>
    <col min="114" max="114" width="89.28515625" style="45" customWidth="1"/>
    <col min="115" max="115" width="3.42578125" style="45" customWidth="1"/>
    <col min="116" max="116" width="89.28515625" style="45" customWidth="1"/>
    <col min="117" max="117" width="3.42578125" style="45" customWidth="1"/>
    <col min="118" max="118" width="89.28515625" style="45" customWidth="1"/>
    <col min="119" max="119" width="3.42578125" style="45" customWidth="1"/>
    <col min="120" max="120" width="89.28515625" style="45" customWidth="1"/>
    <col min="121" max="121" width="3.42578125" style="45" customWidth="1"/>
    <col min="122" max="122" width="89.28515625" style="45" customWidth="1"/>
    <col min="123" max="123" width="3.42578125" style="45" customWidth="1"/>
    <col min="124" max="124" width="89.28515625" style="45" customWidth="1"/>
    <col min="125" max="125" width="3.42578125" style="45" customWidth="1"/>
    <col min="126" max="126" width="89.28515625" style="45" customWidth="1"/>
    <col min="127" max="127" width="3.42578125" style="45" customWidth="1"/>
    <col min="128" max="128" width="89.28515625" style="45" customWidth="1"/>
    <col min="129" max="129" width="3.42578125" style="45" customWidth="1"/>
    <col min="130" max="130" width="89.28515625" style="45" customWidth="1"/>
    <col min="131" max="131" width="3.42578125" style="45" customWidth="1"/>
    <col min="132" max="132" width="89.28515625" style="45" customWidth="1"/>
    <col min="133" max="133" width="3.42578125" style="45" customWidth="1"/>
    <col min="134" max="134" width="89.28515625" style="45" customWidth="1"/>
    <col min="135" max="135" width="3.42578125" style="45" customWidth="1"/>
    <col min="136" max="136" width="89.28515625" style="45" customWidth="1"/>
    <col min="137" max="137" width="3.42578125" style="45" customWidth="1"/>
    <col min="138" max="138" width="89.28515625" style="45" customWidth="1"/>
    <col min="139" max="139" width="3.42578125" style="45" customWidth="1"/>
    <col min="140" max="140" width="89.28515625" style="45" customWidth="1"/>
    <col min="141" max="141" width="3.42578125" style="45" customWidth="1"/>
    <col min="142" max="142" width="89.28515625" style="45" customWidth="1"/>
    <col min="143" max="143" width="3.42578125" style="45" customWidth="1"/>
    <col min="144" max="144" width="89.28515625" style="45" customWidth="1"/>
    <col min="145" max="145" width="3.42578125" style="45" customWidth="1"/>
    <col min="146" max="146" width="89.28515625" style="45" customWidth="1"/>
    <col min="147" max="147" width="3.42578125" style="45" customWidth="1"/>
    <col min="148" max="148" width="89.28515625" style="45" customWidth="1"/>
    <col min="149" max="149" width="3.42578125" style="45" customWidth="1"/>
    <col min="150" max="150" width="89.28515625" style="45" customWidth="1"/>
    <col min="151" max="151" width="3.42578125" style="45" customWidth="1"/>
    <col min="152" max="152" width="89.28515625" style="45" customWidth="1"/>
    <col min="153" max="153" width="3.42578125" style="45" customWidth="1"/>
    <col min="154" max="154" width="89.28515625" style="45" customWidth="1"/>
    <col min="155" max="155" width="3.42578125" style="45" customWidth="1"/>
    <col min="156" max="156" width="89.28515625" style="45" customWidth="1"/>
    <col min="157" max="157" width="3.42578125" style="45" customWidth="1"/>
    <col min="158" max="158" width="89.28515625" style="45" customWidth="1"/>
    <col min="159" max="159" width="3.42578125" style="45" customWidth="1"/>
    <col min="160" max="160" width="89.28515625" style="45" customWidth="1"/>
    <col min="161" max="161" width="3.42578125" style="45" customWidth="1"/>
    <col min="162" max="162" width="89.28515625" style="45" customWidth="1"/>
    <col min="163" max="163" width="3.42578125" style="45" customWidth="1"/>
    <col min="164" max="164" width="89.28515625" style="45" customWidth="1"/>
    <col min="165" max="165" width="3.42578125" style="45" customWidth="1"/>
    <col min="166" max="166" width="89.28515625" style="45" customWidth="1"/>
    <col min="167" max="167" width="3.42578125" style="45" customWidth="1"/>
    <col min="168" max="168" width="89.28515625" style="45" customWidth="1"/>
    <col min="169" max="169" width="3.42578125" style="45" customWidth="1"/>
    <col min="170" max="170" width="89.28515625" style="45" customWidth="1"/>
    <col min="171" max="171" width="3.42578125" style="45" customWidth="1"/>
    <col min="172" max="172" width="89.28515625" style="45" customWidth="1"/>
    <col min="173" max="173" width="3.42578125" style="45" customWidth="1"/>
    <col min="174" max="174" width="89.28515625" style="45" customWidth="1"/>
    <col min="175" max="175" width="3.42578125" style="45" customWidth="1"/>
    <col min="176" max="176" width="89.28515625" style="45" customWidth="1"/>
    <col min="177" max="177" width="3.42578125" style="45" customWidth="1"/>
    <col min="178" max="178" width="89.28515625" style="45" customWidth="1"/>
    <col min="179" max="179" width="3.42578125" style="45" customWidth="1"/>
    <col min="180" max="180" width="89.28515625" style="45" customWidth="1"/>
    <col min="181" max="181" width="3.42578125" style="45" customWidth="1"/>
    <col min="182" max="182" width="89.28515625" style="45" customWidth="1"/>
    <col min="183" max="183" width="3.42578125" style="45" customWidth="1"/>
    <col min="184" max="184" width="89.28515625" style="45" customWidth="1"/>
    <col min="185" max="185" width="3.42578125" style="45" customWidth="1"/>
    <col min="186" max="186" width="89.28515625" style="45" customWidth="1"/>
    <col min="187" max="187" width="3.42578125" style="45" customWidth="1"/>
    <col min="188" max="188" width="89.28515625" style="45" customWidth="1"/>
    <col min="189" max="189" width="3.42578125" style="45" customWidth="1"/>
    <col min="190" max="190" width="89.28515625" style="45" customWidth="1"/>
    <col min="191" max="191" width="3.42578125" style="45" customWidth="1"/>
    <col min="192" max="192" width="89.28515625" style="45" customWidth="1"/>
    <col min="193" max="193" width="3.42578125" style="45" customWidth="1"/>
    <col min="194" max="194" width="89.28515625" style="45" customWidth="1"/>
    <col min="195" max="195" width="3.42578125" style="45" customWidth="1"/>
    <col min="196" max="196" width="89.28515625" style="45" customWidth="1"/>
    <col min="197" max="197" width="3.42578125" style="45" customWidth="1"/>
    <col min="198" max="198" width="89.28515625" style="45" customWidth="1"/>
    <col min="199" max="199" width="3.42578125" style="45" customWidth="1"/>
    <col min="200" max="200" width="89.28515625" style="45" customWidth="1"/>
    <col min="201" max="201" width="3.42578125" style="45" customWidth="1"/>
    <col min="202" max="202" width="89.28515625" style="45" customWidth="1"/>
    <col min="203" max="203" width="3.42578125" style="45" customWidth="1"/>
    <col min="204" max="204" width="89.28515625" style="45" customWidth="1"/>
    <col min="205" max="205" width="3.42578125" style="45" customWidth="1"/>
    <col min="206" max="206" width="89.28515625" style="45" customWidth="1"/>
    <col min="207" max="207" width="3.42578125" style="45" customWidth="1"/>
    <col min="208" max="208" width="89.28515625" style="45" customWidth="1"/>
    <col min="209" max="209" width="3.42578125" style="45" customWidth="1"/>
    <col min="210" max="210" width="89.28515625" style="45" customWidth="1"/>
    <col min="211" max="211" width="3.42578125" style="45" customWidth="1"/>
    <col min="212" max="212" width="89.28515625" style="45" customWidth="1"/>
    <col min="213" max="213" width="3.42578125" style="45" customWidth="1"/>
    <col min="214" max="214" width="89.28515625" style="45" customWidth="1"/>
    <col min="215" max="215" width="3.42578125" style="45" customWidth="1"/>
    <col min="216" max="216" width="89.28515625" style="45" customWidth="1"/>
    <col min="217" max="217" width="3.42578125" style="45" customWidth="1"/>
    <col min="218" max="218" width="89.28515625" style="45" customWidth="1"/>
    <col min="219" max="219" width="3.42578125" style="45" customWidth="1"/>
    <col min="220" max="220" width="89.28515625" style="45" customWidth="1"/>
    <col min="221" max="221" width="3.42578125" style="45" customWidth="1"/>
    <col min="222" max="222" width="89.28515625" style="45" customWidth="1"/>
    <col min="223" max="223" width="3.42578125" style="45" customWidth="1"/>
    <col min="224" max="224" width="89.28515625" style="45" customWidth="1"/>
    <col min="225" max="225" width="3.42578125" style="45" customWidth="1"/>
    <col min="226" max="226" width="89.28515625" style="45" customWidth="1"/>
    <col min="227" max="227" width="3.42578125" style="45" customWidth="1"/>
    <col min="228" max="228" width="89.28515625" style="45" customWidth="1"/>
    <col min="229" max="229" width="3.42578125" style="45" customWidth="1"/>
    <col min="230" max="230" width="89.28515625" style="45" customWidth="1"/>
    <col min="231" max="231" width="3.42578125" style="45" customWidth="1"/>
    <col min="232" max="232" width="89.28515625" style="45" customWidth="1"/>
    <col min="233" max="233" width="3.42578125" style="45" customWidth="1"/>
    <col min="234" max="234" width="89.28515625" style="45" customWidth="1"/>
    <col min="235" max="235" width="3.42578125" style="45" customWidth="1"/>
    <col min="236" max="236" width="89.28515625" style="45" customWidth="1"/>
    <col min="237" max="237" width="3.42578125" style="45" customWidth="1"/>
    <col min="238" max="238" width="89.28515625" style="45" customWidth="1"/>
    <col min="239" max="239" width="3.42578125" style="45" customWidth="1"/>
    <col min="240" max="240" width="89.28515625" style="45" customWidth="1"/>
    <col min="241" max="241" width="3.42578125" style="45" customWidth="1"/>
    <col min="242" max="242" width="89.28515625" style="45" customWidth="1"/>
    <col min="243" max="243" width="3.42578125" style="45" customWidth="1"/>
    <col min="244" max="244" width="89.28515625" style="45" customWidth="1"/>
    <col min="245" max="245" width="3.42578125" style="45" customWidth="1"/>
    <col min="246" max="246" width="89.28515625" style="45" customWidth="1"/>
    <col min="247" max="247" width="3.42578125" style="45" customWidth="1"/>
    <col min="248" max="248" width="89.28515625" style="45" customWidth="1"/>
    <col min="249" max="249" width="3.42578125" style="45" customWidth="1"/>
    <col min="250" max="250" width="89.28515625" style="45" customWidth="1"/>
    <col min="251" max="251" width="3.42578125" style="45" customWidth="1"/>
    <col min="252" max="252" width="89.28515625" style="45" customWidth="1"/>
    <col min="253" max="253" width="3.42578125" style="45" customWidth="1"/>
    <col min="254" max="254" width="89.28515625" style="45" customWidth="1"/>
    <col min="255" max="255" width="3.42578125" style="45" customWidth="1"/>
    <col min="256" max="16384" width="89.28515625" style="45"/>
  </cols>
  <sheetData>
    <row r="1" spans="1:19" s="86" customFormat="1">
      <c r="B1" s="229"/>
      <c r="C1" s="229"/>
      <c r="D1" s="229"/>
      <c r="E1" s="229"/>
      <c r="F1" s="229"/>
      <c r="G1" s="229"/>
      <c r="H1" s="229"/>
      <c r="I1" s="229"/>
      <c r="J1" s="229"/>
      <c r="K1" s="229"/>
      <c r="L1" s="229"/>
    </row>
    <row r="2" spans="1:19" s="449" customFormat="1" ht="15.75">
      <c r="B2" s="450" t="s">
        <v>150</v>
      </c>
      <c r="C2" s="451"/>
      <c r="D2" s="451"/>
      <c r="E2" s="451"/>
      <c r="F2" s="451"/>
      <c r="G2" s="451"/>
      <c r="H2" s="451"/>
      <c r="I2" s="451"/>
      <c r="J2" s="451"/>
      <c r="K2" s="451"/>
      <c r="L2" s="451"/>
    </row>
    <row r="3" spans="1:19" s="453" customFormat="1" ht="24.75" customHeight="1">
      <c r="A3" s="449"/>
      <c r="B3" s="452" t="s">
        <v>330</v>
      </c>
      <c r="C3" s="451"/>
      <c r="D3" s="451"/>
      <c r="E3" s="451"/>
      <c r="F3" s="451"/>
      <c r="G3" s="451"/>
      <c r="H3" s="451"/>
      <c r="I3" s="451"/>
      <c r="J3" s="451"/>
      <c r="K3" s="451"/>
      <c r="L3" s="451"/>
      <c r="M3" s="449"/>
      <c r="N3" s="449"/>
      <c r="O3" s="449"/>
      <c r="P3" s="449"/>
      <c r="Q3" s="449"/>
      <c r="R3" s="449"/>
      <c r="S3" s="449"/>
    </row>
    <row r="4" spans="1:19" s="453" customFormat="1" ht="150.75" customHeight="1">
      <c r="A4" s="449"/>
      <c r="B4" s="454" t="s">
        <v>331</v>
      </c>
      <c r="C4" s="231"/>
      <c r="D4" s="231"/>
      <c r="E4" s="231"/>
      <c r="F4" s="231"/>
      <c r="G4" s="231"/>
      <c r="H4" s="231"/>
      <c r="I4" s="231"/>
      <c r="J4" s="231"/>
      <c r="K4" s="231"/>
      <c r="L4" s="231"/>
      <c r="M4" s="449"/>
      <c r="N4" s="449"/>
      <c r="O4" s="449"/>
      <c r="P4" s="449"/>
      <c r="Q4" s="449"/>
      <c r="R4" s="449"/>
      <c r="S4" s="449"/>
    </row>
    <row r="5" spans="1:19" s="453" customFormat="1" ht="24.75" customHeight="1">
      <c r="A5" s="449"/>
      <c r="B5" s="452" t="s">
        <v>223</v>
      </c>
      <c r="C5" s="451"/>
      <c r="D5" s="451"/>
      <c r="E5" s="451"/>
      <c r="F5" s="451"/>
      <c r="G5" s="451"/>
      <c r="H5" s="451"/>
      <c r="I5" s="451"/>
      <c r="J5" s="451"/>
      <c r="K5" s="451"/>
      <c r="L5" s="451"/>
      <c r="M5" s="449"/>
      <c r="N5" s="449"/>
      <c r="O5" s="449"/>
      <c r="P5" s="449"/>
      <c r="Q5" s="449"/>
      <c r="R5" s="449"/>
      <c r="S5" s="449"/>
    </row>
    <row r="6" spans="1:19" ht="90" customHeight="1">
      <c r="B6" s="454" t="s">
        <v>332</v>
      </c>
      <c r="C6" s="231"/>
      <c r="D6" s="231"/>
      <c r="E6" s="231"/>
      <c r="F6" s="231"/>
      <c r="G6" s="231"/>
      <c r="H6" s="231"/>
      <c r="I6" s="231"/>
      <c r="J6" s="231"/>
      <c r="K6" s="231"/>
      <c r="L6" s="231"/>
    </row>
    <row r="7" spans="1:19" s="453" customFormat="1" ht="24.75" customHeight="1">
      <c r="A7" s="449"/>
      <c r="B7" s="452" t="s">
        <v>120</v>
      </c>
      <c r="C7" s="451"/>
      <c r="D7" s="451"/>
      <c r="E7" s="451"/>
      <c r="F7" s="451"/>
      <c r="G7" s="451"/>
      <c r="H7" s="451"/>
      <c r="I7" s="451"/>
      <c r="J7" s="451"/>
      <c r="K7" s="451"/>
      <c r="L7" s="451"/>
      <c r="M7" s="449"/>
      <c r="N7" s="449"/>
      <c r="O7" s="449"/>
      <c r="P7" s="449"/>
      <c r="Q7" s="449"/>
      <c r="R7" s="449"/>
      <c r="S7" s="449"/>
    </row>
    <row r="8" spans="1:19" ht="52.5" customHeight="1">
      <c r="B8" s="454" t="s">
        <v>333</v>
      </c>
      <c r="C8" s="232"/>
      <c r="D8" s="232"/>
      <c r="E8" s="232"/>
      <c r="F8" s="232"/>
      <c r="G8" s="232"/>
      <c r="H8" s="232"/>
      <c r="I8" s="232"/>
      <c r="J8" s="232"/>
      <c r="K8" s="232"/>
      <c r="L8" s="232"/>
    </row>
    <row r="9" spans="1:19" s="453" customFormat="1" ht="24.75" customHeight="1">
      <c r="A9" s="449"/>
      <c r="B9" s="452" t="s">
        <v>92</v>
      </c>
      <c r="C9" s="451"/>
      <c r="D9" s="451"/>
      <c r="E9" s="451"/>
      <c r="F9" s="451"/>
      <c r="G9" s="451"/>
      <c r="H9" s="451"/>
      <c r="I9" s="451"/>
      <c r="J9" s="451"/>
      <c r="K9" s="451"/>
      <c r="L9" s="451"/>
      <c r="M9" s="449"/>
      <c r="N9" s="449"/>
      <c r="O9" s="449"/>
      <c r="P9" s="449"/>
      <c r="Q9" s="449"/>
      <c r="R9" s="449"/>
      <c r="S9" s="449"/>
    </row>
    <row r="10" spans="1:19" ht="115.5" customHeight="1">
      <c r="B10" s="454" t="s">
        <v>334</v>
      </c>
      <c r="C10" s="230"/>
      <c r="D10" s="230"/>
      <c r="E10" s="230"/>
      <c r="F10" s="230"/>
      <c r="G10" s="230"/>
      <c r="H10" s="230"/>
      <c r="I10" s="230"/>
      <c r="J10" s="230"/>
      <c r="K10" s="230"/>
      <c r="L10" s="230"/>
    </row>
    <row r="11" spans="1:19" s="453" customFormat="1" ht="25.5" customHeight="1">
      <c r="A11" s="449"/>
      <c r="B11" s="452" t="s">
        <v>173</v>
      </c>
      <c r="C11" s="451"/>
      <c r="D11" s="451"/>
      <c r="E11" s="451"/>
      <c r="F11" s="451"/>
      <c r="G11" s="451"/>
      <c r="H11" s="451"/>
      <c r="I11" s="451"/>
      <c r="J11" s="451"/>
      <c r="K11" s="451"/>
      <c r="L11" s="451"/>
      <c r="M11" s="449"/>
      <c r="N11" s="449"/>
      <c r="O11" s="449"/>
      <c r="P11" s="449"/>
      <c r="Q11" s="449"/>
      <c r="R11" s="449"/>
      <c r="S11" s="449"/>
    </row>
    <row r="12" spans="1:19" ht="35.25" customHeight="1">
      <c r="B12" s="454" t="s">
        <v>335</v>
      </c>
      <c r="C12" s="230"/>
      <c r="D12" s="230"/>
      <c r="E12" s="230"/>
      <c r="F12" s="230"/>
      <c r="G12" s="230"/>
      <c r="H12" s="230"/>
      <c r="I12" s="230"/>
      <c r="J12" s="230"/>
      <c r="K12" s="230"/>
      <c r="L12" s="230"/>
    </row>
    <row r="13" spans="1:19" s="458" customFormat="1" ht="22.5" customHeight="1">
      <c r="A13" s="455"/>
      <c r="B13" s="456" t="s">
        <v>123</v>
      </c>
      <c r="C13" s="457"/>
      <c r="D13" s="457"/>
      <c r="E13" s="457"/>
      <c r="F13" s="457"/>
      <c r="G13" s="457"/>
      <c r="H13" s="457"/>
      <c r="I13" s="457"/>
      <c r="J13" s="457"/>
      <c r="K13" s="457"/>
      <c r="L13" s="457"/>
      <c r="M13" s="455"/>
      <c r="N13" s="455"/>
      <c r="O13" s="455"/>
      <c r="P13" s="455"/>
      <c r="Q13" s="455"/>
      <c r="R13" s="455"/>
      <c r="S13" s="455"/>
    </row>
    <row r="14" spans="1:19" ht="117.75" customHeight="1">
      <c r="B14" s="454" t="s">
        <v>336</v>
      </c>
      <c r="C14" s="230"/>
      <c r="D14" s="230"/>
      <c r="E14" s="230"/>
      <c r="F14" s="230"/>
      <c r="G14" s="230"/>
      <c r="H14" s="230"/>
      <c r="I14" s="230"/>
      <c r="J14" s="230"/>
      <c r="K14" s="230"/>
      <c r="L14" s="230"/>
    </row>
    <row r="15" spans="1:19" ht="72.75" customHeight="1">
      <c r="B15" s="454" t="s">
        <v>337</v>
      </c>
      <c r="C15" s="230"/>
      <c r="D15" s="230"/>
      <c r="E15" s="230"/>
      <c r="F15" s="230"/>
      <c r="G15" s="230"/>
      <c r="H15" s="230"/>
      <c r="I15" s="230"/>
      <c r="J15" s="230"/>
      <c r="K15" s="230"/>
      <c r="L15" s="230"/>
    </row>
    <row r="16" spans="1:19" s="453" customFormat="1" ht="25.5" customHeight="1">
      <c r="A16" s="449"/>
      <c r="B16" s="452" t="s">
        <v>338</v>
      </c>
      <c r="C16" s="451"/>
      <c r="D16" s="451"/>
      <c r="E16" s="451"/>
      <c r="F16" s="451"/>
      <c r="G16" s="451"/>
      <c r="H16" s="451"/>
      <c r="I16" s="451"/>
      <c r="J16" s="451"/>
      <c r="K16" s="451"/>
      <c r="L16" s="451"/>
      <c r="M16" s="449"/>
      <c r="N16" s="449"/>
      <c r="O16" s="449"/>
      <c r="P16" s="449"/>
      <c r="Q16" s="449"/>
      <c r="R16" s="449"/>
      <c r="S16" s="449"/>
    </row>
    <row r="17" spans="1:19" ht="52.5" customHeight="1">
      <c r="B17" s="454" t="s">
        <v>209</v>
      </c>
      <c r="C17" s="229"/>
      <c r="D17" s="229"/>
      <c r="E17" s="229"/>
      <c r="F17" s="229"/>
      <c r="G17" s="229"/>
      <c r="H17" s="229"/>
      <c r="I17" s="229"/>
      <c r="J17" s="229"/>
      <c r="K17" s="229"/>
      <c r="L17" s="229"/>
    </row>
    <row r="18" spans="1:19" ht="15.75">
      <c r="B18" s="459" t="s">
        <v>210</v>
      </c>
      <c r="C18" s="229"/>
      <c r="D18" s="229"/>
      <c r="E18" s="229"/>
      <c r="F18" s="229"/>
      <c r="G18" s="229"/>
      <c r="H18" s="229"/>
      <c r="I18" s="229"/>
      <c r="J18" s="229"/>
      <c r="K18" s="229"/>
      <c r="L18" s="229"/>
    </row>
    <row r="19" spans="1:19" ht="15.75">
      <c r="B19" s="459" t="s">
        <v>211</v>
      </c>
      <c r="C19" s="229"/>
      <c r="D19" s="229"/>
      <c r="E19" s="229"/>
      <c r="F19" s="229"/>
      <c r="G19" s="229"/>
      <c r="H19" s="229"/>
      <c r="I19" s="229"/>
      <c r="J19" s="229"/>
      <c r="K19" s="229"/>
      <c r="L19" s="229"/>
    </row>
    <row r="20" spans="1:19" ht="15.75">
      <c r="B20" s="459" t="s">
        <v>212</v>
      </c>
      <c r="C20" s="229"/>
      <c r="D20" s="229"/>
      <c r="E20" s="229"/>
      <c r="F20" s="229"/>
      <c r="G20" s="229"/>
      <c r="H20" s="229"/>
      <c r="I20" s="229"/>
      <c r="J20" s="229"/>
      <c r="K20" s="229"/>
      <c r="L20" s="229"/>
    </row>
    <row r="21" spans="1:19" ht="15.75">
      <c r="B21" s="459" t="s">
        <v>213</v>
      </c>
      <c r="C21" s="229"/>
      <c r="D21" s="229"/>
      <c r="E21" s="229"/>
      <c r="F21" s="229"/>
      <c r="G21" s="229"/>
      <c r="H21" s="229"/>
      <c r="I21" s="229"/>
      <c r="J21" s="229"/>
      <c r="K21" s="229"/>
      <c r="L21" s="229"/>
    </row>
    <row r="22" spans="1:19" ht="15.75">
      <c r="B22" s="459" t="s">
        <v>214</v>
      </c>
      <c r="C22" s="229"/>
      <c r="D22" s="229"/>
      <c r="E22" s="229"/>
      <c r="F22" s="229"/>
      <c r="G22" s="229"/>
      <c r="H22" s="229"/>
      <c r="I22" s="229"/>
      <c r="J22" s="229"/>
      <c r="K22" s="229"/>
      <c r="L22" s="229"/>
    </row>
    <row r="23" spans="1:19" ht="15.75">
      <c r="B23" s="459" t="s">
        <v>215</v>
      </c>
      <c r="C23" s="229"/>
      <c r="D23" s="229"/>
      <c r="E23" s="229"/>
      <c r="F23" s="229"/>
      <c r="G23" s="229"/>
      <c r="H23" s="229"/>
      <c r="I23" s="229"/>
      <c r="J23" s="229"/>
      <c r="K23" s="229"/>
      <c r="L23" s="229"/>
    </row>
    <row r="24" spans="1:19" ht="15.75">
      <c r="B24" s="459" t="s">
        <v>216</v>
      </c>
      <c r="C24" s="229"/>
      <c r="D24" s="229"/>
      <c r="E24" s="229"/>
      <c r="F24" s="229"/>
      <c r="G24" s="229"/>
      <c r="H24" s="229"/>
      <c r="I24" s="229"/>
      <c r="J24" s="229"/>
      <c r="K24" s="229"/>
      <c r="L24" s="229"/>
    </row>
    <row r="25" spans="1:19" ht="15.75">
      <c r="B25" s="459" t="s">
        <v>217</v>
      </c>
      <c r="C25" s="229"/>
      <c r="D25" s="229"/>
      <c r="E25" s="229"/>
      <c r="F25" s="229"/>
      <c r="G25" s="229"/>
      <c r="H25" s="229"/>
      <c r="I25" s="229"/>
      <c r="J25" s="229"/>
      <c r="K25" s="229"/>
      <c r="L25" s="229"/>
    </row>
    <row r="26" spans="1:19">
      <c r="B26" s="460"/>
      <c r="C26" s="229"/>
      <c r="D26" s="229"/>
      <c r="E26" s="229"/>
      <c r="F26" s="229"/>
      <c r="G26" s="229"/>
      <c r="H26" s="229"/>
      <c r="I26" s="229"/>
      <c r="J26" s="229"/>
      <c r="K26" s="229"/>
      <c r="L26" s="229"/>
    </row>
    <row r="27" spans="1:19" ht="101.25" customHeight="1">
      <c r="B27" s="454" t="s">
        <v>339</v>
      </c>
      <c r="C27" s="230"/>
      <c r="D27" s="230"/>
      <c r="E27" s="230"/>
      <c r="F27" s="230"/>
      <c r="G27" s="230"/>
      <c r="H27" s="230"/>
      <c r="I27" s="230"/>
      <c r="J27" s="230"/>
      <c r="K27" s="230"/>
      <c r="L27" s="230"/>
    </row>
    <row r="28" spans="1:19" s="453" customFormat="1" ht="24.75" customHeight="1">
      <c r="A28" s="449"/>
      <c r="B28" s="452" t="s">
        <v>84</v>
      </c>
      <c r="C28" s="451"/>
      <c r="D28" s="451"/>
      <c r="E28" s="451"/>
      <c r="F28" s="451"/>
      <c r="G28" s="451"/>
      <c r="H28" s="451"/>
      <c r="I28" s="451"/>
      <c r="J28" s="451"/>
      <c r="K28" s="451"/>
      <c r="L28" s="451"/>
      <c r="M28" s="449"/>
      <c r="N28" s="449"/>
      <c r="O28" s="449"/>
      <c r="P28" s="449"/>
      <c r="Q28" s="449"/>
      <c r="R28" s="449"/>
      <c r="S28" s="449"/>
    </row>
    <row r="29" spans="1:19" ht="71.25" customHeight="1">
      <c r="B29" s="454" t="s">
        <v>340</v>
      </c>
      <c r="C29" s="232"/>
      <c r="D29" s="232"/>
      <c r="E29" s="232"/>
      <c r="F29" s="232"/>
      <c r="G29" s="232"/>
      <c r="H29" s="232"/>
      <c r="I29" s="232"/>
      <c r="J29" s="232"/>
      <c r="K29" s="232"/>
      <c r="L29" s="232"/>
    </row>
    <row r="30" spans="1:19">
      <c r="B30" s="461"/>
    </row>
    <row r="31" spans="1:19" s="48" customFormat="1">
      <c r="B31" s="462"/>
    </row>
    <row r="32" spans="1:19" s="48" customFormat="1">
      <c r="B32" s="463"/>
    </row>
    <row r="33" spans="2:2">
      <c r="B33" s="86"/>
    </row>
    <row r="34" spans="2:2">
      <c r="B34" s="86"/>
    </row>
  </sheetData>
  <pageMargins left="0.7" right="0.7" top="0.75" bottom="0.75" header="0.3" footer="0.3"/>
  <pageSetup scale="87" fitToHeight="2" orientation="portrait" horizontalDpi="300" verticalDpi="300" r:id="rId1"/>
  <headerFooter>
    <oddFooter>&amp;L&amp;A&amp;C&amp;F&amp;R&amp;D</oddFooter>
  </headerFooter>
  <rowBreaks count="1" manualBreakCount="1">
    <brk id="14" min="1" max="1" man="1"/>
  </rowBreaks>
</worksheet>
</file>

<file path=xl/worksheets/sheet3.xml><?xml version="1.0" encoding="utf-8"?>
<worksheet xmlns="http://schemas.openxmlformats.org/spreadsheetml/2006/main" xmlns:r="http://schemas.openxmlformats.org/officeDocument/2006/relationships">
  <dimension ref="A1:AE60"/>
  <sheetViews>
    <sheetView zoomScaleNormal="100" workbookViewId="0">
      <selection activeCell="B34" sqref="B34"/>
    </sheetView>
  </sheetViews>
  <sheetFormatPr defaultColWidth="8.85546875" defaultRowHeight="12.75"/>
  <cols>
    <col min="1" max="1" width="3.28515625" style="48" customWidth="1"/>
    <col min="2" max="2" width="34.28515625" customWidth="1"/>
    <col min="3" max="3" width="8.85546875" customWidth="1"/>
    <col min="4" max="4" width="8.42578125" customWidth="1"/>
    <col min="5" max="5" width="8.85546875" customWidth="1"/>
    <col min="6" max="6" width="2.28515625" customWidth="1"/>
    <col min="7" max="7" width="9" customWidth="1"/>
    <col min="8" max="9" width="8.85546875" customWidth="1"/>
    <col min="10" max="10" width="10" customWidth="1"/>
    <col min="11" max="13" width="8.85546875" customWidth="1"/>
    <col min="14" max="14" width="12.42578125" customWidth="1"/>
    <col min="15" max="15" width="5.28515625" style="48" customWidth="1"/>
    <col min="16" max="16" width="8.28515625" style="48" customWidth="1"/>
    <col min="17" max="17" width="6.85546875" style="48" customWidth="1"/>
    <col min="18" max="31" width="9.140625" style="48" customWidth="1"/>
  </cols>
  <sheetData>
    <row r="1" spans="2:18" s="48" customFormat="1"/>
    <row r="2" spans="2:18" s="48" customFormat="1" ht="18" customHeight="1">
      <c r="B2" s="267" t="s">
        <v>133</v>
      </c>
      <c r="C2" s="246"/>
      <c r="D2" s="246"/>
      <c r="E2" s="246"/>
      <c r="F2" s="246"/>
      <c r="G2" s="246"/>
      <c r="H2" s="246"/>
      <c r="I2" s="247"/>
    </row>
    <row r="3" spans="2:18" s="48" customFormat="1">
      <c r="B3" s="304" t="s">
        <v>69</v>
      </c>
      <c r="C3" s="248"/>
      <c r="D3" s="248"/>
      <c r="E3" s="248"/>
      <c r="F3" s="248"/>
      <c r="G3" s="248"/>
      <c r="H3" s="248"/>
      <c r="I3" s="249"/>
    </row>
    <row r="4" spans="2:18" s="48" customFormat="1">
      <c r="B4" s="305" t="s">
        <v>113</v>
      </c>
      <c r="C4" s="250"/>
      <c r="D4" s="250"/>
      <c r="E4" s="250"/>
      <c r="F4" s="250"/>
      <c r="G4" s="250"/>
      <c r="H4" s="250"/>
      <c r="I4" s="251"/>
    </row>
    <row r="5" spans="2:18" s="48" customFormat="1">
      <c r="B5" s="306" t="s">
        <v>70</v>
      </c>
      <c r="C5" s="252"/>
      <c r="D5" s="252"/>
      <c r="E5" s="252"/>
      <c r="F5" s="252"/>
      <c r="G5" s="252"/>
      <c r="H5" s="252"/>
      <c r="I5" s="253"/>
    </row>
    <row r="6" spans="2:18" s="48" customFormat="1">
      <c r="B6" s="307" t="s">
        <v>71</v>
      </c>
      <c r="C6" s="254"/>
      <c r="D6" s="254"/>
      <c r="E6" s="254"/>
      <c r="F6" s="254"/>
      <c r="G6" s="254"/>
      <c r="H6" s="254"/>
      <c r="I6" s="255"/>
    </row>
    <row r="7" spans="2:18" s="48" customFormat="1">
      <c r="B7" s="338"/>
      <c r="C7" s="99"/>
      <c r="D7" s="99"/>
      <c r="E7" s="99"/>
      <c r="F7" s="99"/>
      <c r="G7" s="99"/>
      <c r="H7" s="99"/>
      <c r="I7" s="99"/>
      <c r="J7" s="99"/>
      <c r="K7" s="99"/>
      <c r="L7" s="99"/>
      <c r="M7" s="99"/>
      <c r="N7" s="99"/>
      <c r="O7" s="416"/>
      <c r="P7" s="416"/>
      <c r="Q7" s="416"/>
      <c r="R7" s="416"/>
    </row>
    <row r="8" spans="2:18" s="136" customFormat="1" ht="27" customHeight="1">
      <c r="B8" s="394" t="s">
        <v>232</v>
      </c>
      <c r="C8" s="443"/>
      <c r="D8" s="444"/>
      <c r="E8" s="445"/>
      <c r="F8" s="445"/>
      <c r="G8" s="446"/>
      <c r="H8" s="445"/>
      <c r="I8" s="447"/>
      <c r="J8" s="443"/>
      <c r="K8" s="443"/>
      <c r="L8" s="443"/>
      <c r="M8" s="444"/>
      <c r="N8" s="448"/>
      <c r="O8" s="417"/>
      <c r="P8" s="418"/>
      <c r="Q8" s="418"/>
      <c r="R8" s="418"/>
    </row>
    <row r="9" spans="2:18">
      <c r="B9" s="91"/>
      <c r="C9" s="93" t="s">
        <v>229</v>
      </c>
      <c r="D9" s="53"/>
      <c r="E9" s="89"/>
      <c r="F9" s="89"/>
      <c r="G9" s="90"/>
      <c r="H9" s="97"/>
      <c r="I9" s="97"/>
      <c r="J9" s="234" t="s">
        <v>53</v>
      </c>
      <c r="K9" s="97"/>
      <c r="L9" s="97"/>
      <c r="M9" s="12"/>
      <c r="N9" s="93" t="s">
        <v>319</v>
      </c>
      <c r="O9" s="419"/>
      <c r="P9" s="416"/>
      <c r="Q9" s="416"/>
      <c r="R9" s="416"/>
    </row>
    <row r="10" spans="2:18">
      <c r="B10" s="92"/>
      <c r="C10" s="93" t="s">
        <v>26</v>
      </c>
      <c r="D10" s="93"/>
      <c r="E10" s="89"/>
      <c r="F10" s="89"/>
      <c r="G10" s="90"/>
      <c r="H10" s="234" t="s">
        <v>236</v>
      </c>
      <c r="I10" s="94" t="s">
        <v>233</v>
      </c>
      <c r="J10" s="93" t="s">
        <v>238</v>
      </c>
      <c r="K10" s="94" t="s">
        <v>233</v>
      </c>
      <c r="L10" s="93" t="s">
        <v>240</v>
      </c>
      <c r="M10" s="93"/>
      <c r="N10" s="93" t="s">
        <v>320</v>
      </c>
      <c r="O10" s="419"/>
      <c r="P10" s="416"/>
      <c r="Q10" s="416"/>
      <c r="R10" s="416"/>
    </row>
    <row r="11" spans="2:18">
      <c r="B11" s="12"/>
      <c r="C11" s="77" t="s">
        <v>145</v>
      </c>
      <c r="D11" s="93"/>
      <c r="E11" s="95" t="s">
        <v>235</v>
      </c>
      <c r="F11" s="95"/>
      <c r="G11" s="96" t="s">
        <v>329</v>
      </c>
      <c r="H11" s="95" t="s">
        <v>242</v>
      </c>
      <c r="I11" s="94" t="s">
        <v>237</v>
      </c>
      <c r="J11" s="93" t="s">
        <v>245</v>
      </c>
      <c r="K11" s="94" t="s">
        <v>239</v>
      </c>
      <c r="L11" s="127" t="s">
        <v>246</v>
      </c>
      <c r="M11" s="93" t="s">
        <v>28</v>
      </c>
      <c r="N11" s="77" t="s">
        <v>321</v>
      </c>
      <c r="O11" s="420">
        <v>0.67</v>
      </c>
      <c r="P11" s="416" t="s">
        <v>317</v>
      </c>
      <c r="Q11" s="416"/>
      <c r="R11" s="416"/>
    </row>
    <row r="12" spans="2:18">
      <c r="B12" s="61" t="s">
        <v>241</v>
      </c>
      <c r="C12" s="396" t="s">
        <v>122</v>
      </c>
      <c r="D12" s="74" t="s">
        <v>110</v>
      </c>
      <c r="E12" s="397" t="s">
        <v>242</v>
      </c>
      <c r="F12" s="397"/>
      <c r="G12" s="397" t="s">
        <v>243</v>
      </c>
      <c r="H12" s="396" t="s">
        <v>122</v>
      </c>
      <c r="I12" s="396" t="s">
        <v>122</v>
      </c>
      <c r="J12" s="396" t="s">
        <v>122</v>
      </c>
      <c r="K12" s="396" t="s">
        <v>122</v>
      </c>
      <c r="L12" s="396" t="s">
        <v>122</v>
      </c>
      <c r="M12" s="396" t="s">
        <v>122</v>
      </c>
      <c r="N12" s="396" t="s">
        <v>322</v>
      </c>
      <c r="O12" s="420">
        <v>0.33</v>
      </c>
      <c r="P12" s="416" t="s">
        <v>318</v>
      </c>
      <c r="Q12" s="416"/>
      <c r="R12" s="416"/>
    </row>
    <row r="13" spans="2:18" ht="14.1" customHeight="1">
      <c r="B13" s="256" t="s">
        <v>250</v>
      </c>
      <c r="C13" s="257">
        <f>+'CT Winter Wheat'!$J$70</f>
        <v>229.53952300499995</v>
      </c>
      <c r="D13" s="258" t="s">
        <v>163</v>
      </c>
      <c r="E13" s="236">
        <v>55</v>
      </c>
      <c r="F13" s="261"/>
      <c r="G13" s="237">
        <v>5.08</v>
      </c>
      <c r="H13" s="258">
        <f>+G13*E13</f>
        <v>279.39999999999998</v>
      </c>
      <c r="I13" s="262">
        <f>+E13*G13-C13</f>
        <v>49.860476995000028</v>
      </c>
      <c r="J13" s="263">
        <f>+'CT Winter Wheat'!$J$49</f>
        <v>49.608171749999997</v>
      </c>
      <c r="K13" s="263">
        <f>+H13-J13</f>
        <v>229.79182824999998</v>
      </c>
      <c r="L13" s="263">
        <f>+'CT Winter Wheat'!$J$67</f>
        <v>179.93135125499995</v>
      </c>
      <c r="M13" s="263">
        <f>'CT Winter Wheat'!$J$34</f>
        <v>8.3840000000000003</v>
      </c>
      <c r="N13" s="263">
        <f>+'CT Winter Wheat'!$J$59</f>
        <v>69.533019999999993</v>
      </c>
      <c r="O13" s="416"/>
      <c r="P13" s="416"/>
      <c r="Q13" s="416"/>
      <c r="R13" s="416"/>
    </row>
    <row r="14" spans="2:18" ht="14.1" customHeight="1">
      <c r="B14" s="259" t="s">
        <v>248</v>
      </c>
      <c r="C14" s="260"/>
      <c r="D14" s="260"/>
      <c r="E14" s="260"/>
      <c r="F14" s="261"/>
      <c r="G14" s="260"/>
      <c r="H14" s="260"/>
      <c r="I14" s="264"/>
      <c r="J14" s="261">
        <f>+'Summer Fallow'!$J$47</f>
        <v>76.188019499999967</v>
      </c>
      <c r="K14" s="265">
        <f>+H14-J14</f>
        <v>-76.188019499999967</v>
      </c>
      <c r="L14" s="265">
        <f>+'Summer Fallow'!$J$56</f>
        <v>11.571</v>
      </c>
      <c r="M14" s="261">
        <f>'Summer Fallow'!$J$31</f>
        <v>9.2839999999999989</v>
      </c>
      <c r="N14" s="261"/>
      <c r="O14" s="416"/>
      <c r="P14" s="416"/>
      <c r="Q14" s="416"/>
      <c r="R14" s="416"/>
    </row>
    <row r="15" spans="2:18" ht="14.1" customHeight="1">
      <c r="B15" s="409" t="s">
        <v>251</v>
      </c>
      <c r="C15" s="260">
        <f>+'RT Winter Wheat'!$J$74</f>
        <v>269.7917853225</v>
      </c>
      <c r="D15" s="260" t="s">
        <v>247</v>
      </c>
      <c r="E15" s="236">
        <v>55</v>
      </c>
      <c r="F15" s="261"/>
      <c r="G15" s="237">
        <v>5.08</v>
      </c>
      <c r="H15" s="260">
        <f>+G15*E15</f>
        <v>279.39999999999998</v>
      </c>
      <c r="I15" s="264">
        <f>+E15*G15-C15</f>
        <v>9.6082146774999728</v>
      </c>
      <c r="J15" s="261">
        <f>+'RT Winter Wheat'!$J$53</f>
        <v>99.601769250000018</v>
      </c>
      <c r="K15" s="265">
        <f>+H15-J15</f>
        <v>179.79823074999996</v>
      </c>
      <c r="L15" s="265">
        <f>+'RT Winter Wheat'!$J$71</f>
        <v>170.19001607250001</v>
      </c>
      <c r="M15" s="261">
        <f>'RT Winter Wheat'!$J$37</f>
        <v>8.7840000000000007</v>
      </c>
      <c r="N15" s="261">
        <f>+'RT Winter Wheat'!$J$63</f>
        <v>71.45559999999999</v>
      </c>
      <c r="O15" s="416"/>
      <c r="P15" s="416"/>
      <c r="Q15" s="416"/>
      <c r="R15" s="416"/>
    </row>
    <row r="16" spans="2:18" ht="14.1" customHeight="1">
      <c r="B16" s="410" t="s">
        <v>260</v>
      </c>
      <c r="C16" s="411"/>
      <c r="D16" s="411"/>
      <c r="E16" s="411"/>
      <c r="F16" s="411"/>
      <c r="G16" s="411"/>
      <c r="H16" s="411"/>
      <c r="I16" s="412"/>
      <c r="J16" s="413">
        <f>+'Chem Fallow'!$J$44</f>
        <v>64.875620249999997</v>
      </c>
      <c r="K16" s="414">
        <f>+H16-J16</f>
        <v>-64.875620249999997</v>
      </c>
      <c r="L16" s="414">
        <f>+'Chem Fallow'!$J$53</f>
        <v>11.311</v>
      </c>
      <c r="M16" s="413">
        <f>'Chem Fallow'!$J$29</f>
        <v>5.4539999999999997</v>
      </c>
      <c r="N16" s="413"/>
      <c r="O16" s="416"/>
      <c r="P16" s="416"/>
      <c r="Q16" s="416"/>
      <c r="R16" s="416"/>
    </row>
    <row r="17" spans="1:31" s="59" customFormat="1">
      <c r="A17" s="69"/>
      <c r="B17" s="431" t="s">
        <v>252</v>
      </c>
      <c r="C17" s="432"/>
      <c r="D17" s="432"/>
      <c r="E17" s="433"/>
      <c r="F17" s="433"/>
      <c r="G17" s="433"/>
      <c r="H17" s="433"/>
      <c r="I17" s="433"/>
      <c r="J17" s="433"/>
      <c r="K17" s="433"/>
      <c r="L17" s="433"/>
      <c r="M17" s="434"/>
      <c r="N17" s="434"/>
      <c r="O17" s="416"/>
      <c r="P17" s="416"/>
      <c r="Q17" s="416"/>
      <c r="R17" s="416"/>
      <c r="S17" s="48"/>
      <c r="T17" s="48"/>
      <c r="U17" s="48"/>
      <c r="V17" s="48"/>
      <c r="W17" s="48"/>
      <c r="X17" s="48"/>
      <c r="Y17" s="48"/>
      <c r="Z17" s="48"/>
      <c r="AA17" s="48"/>
      <c r="AB17" s="48"/>
      <c r="AC17" s="48"/>
      <c r="AD17" s="48"/>
      <c r="AE17" s="48"/>
    </row>
    <row r="18" spans="1:31">
      <c r="B18" s="435" t="s">
        <v>283</v>
      </c>
      <c r="C18" s="436"/>
      <c r="D18" s="436"/>
      <c r="E18" s="437"/>
      <c r="F18" s="437"/>
      <c r="G18" s="437"/>
      <c r="H18" s="437"/>
      <c r="I18" s="437"/>
      <c r="J18" s="437"/>
      <c r="K18" s="437"/>
      <c r="L18" s="437"/>
      <c r="M18" s="438"/>
      <c r="N18" s="438"/>
      <c r="O18" s="416"/>
      <c r="P18" s="416"/>
      <c r="Q18" s="416"/>
      <c r="R18" s="416"/>
    </row>
    <row r="19" spans="1:31">
      <c r="B19" s="439" t="s">
        <v>284</v>
      </c>
      <c r="C19" s="440"/>
      <c r="D19" s="440"/>
      <c r="E19" s="441"/>
      <c r="F19" s="441"/>
      <c r="G19" s="441"/>
      <c r="H19" s="441"/>
      <c r="I19" s="441"/>
      <c r="J19" s="441"/>
      <c r="K19" s="441"/>
      <c r="L19" s="441"/>
      <c r="M19" s="442"/>
      <c r="N19" s="442"/>
      <c r="O19" s="416"/>
      <c r="P19" s="416"/>
      <c r="Q19" s="416"/>
      <c r="R19" s="416"/>
    </row>
    <row r="20" spans="1:31">
      <c r="B20" s="398"/>
      <c r="C20" s="127" t="s">
        <v>229</v>
      </c>
      <c r="D20" s="399"/>
      <c r="E20" s="400"/>
      <c r="F20" s="400"/>
      <c r="G20" s="400"/>
      <c r="H20" s="400"/>
      <c r="I20" s="400"/>
      <c r="J20" s="401" t="s">
        <v>53</v>
      </c>
      <c r="K20" s="400"/>
      <c r="L20" s="400"/>
      <c r="M20" s="16"/>
      <c r="N20" s="127" t="s">
        <v>234</v>
      </c>
      <c r="O20" s="416"/>
      <c r="P20" s="416"/>
      <c r="Q20" s="416"/>
      <c r="R20" s="416"/>
    </row>
    <row r="21" spans="1:31">
      <c r="B21" s="399"/>
      <c r="C21" s="127" t="s">
        <v>26</v>
      </c>
      <c r="D21" s="399"/>
      <c r="E21" s="399"/>
      <c r="F21" s="399"/>
      <c r="G21" s="400"/>
      <c r="H21" s="401" t="s">
        <v>236</v>
      </c>
      <c r="I21" s="402" t="s">
        <v>233</v>
      </c>
      <c r="J21" s="127" t="s">
        <v>238</v>
      </c>
      <c r="K21" s="402" t="s">
        <v>233</v>
      </c>
      <c r="L21" s="127" t="s">
        <v>240</v>
      </c>
      <c r="M21" s="127"/>
      <c r="N21" s="127" t="s">
        <v>128</v>
      </c>
      <c r="O21" s="416"/>
      <c r="P21" s="416"/>
      <c r="Q21" s="416"/>
      <c r="R21" s="416"/>
    </row>
    <row r="22" spans="1:31">
      <c r="B22" s="399"/>
      <c r="C22" s="403" t="s">
        <v>145</v>
      </c>
      <c r="D22" s="399"/>
      <c r="E22" s="399"/>
      <c r="F22" s="399"/>
      <c r="G22" s="400"/>
      <c r="H22" s="404" t="s">
        <v>242</v>
      </c>
      <c r="I22" s="402" t="s">
        <v>237</v>
      </c>
      <c r="J22" s="127" t="s">
        <v>245</v>
      </c>
      <c r="K22" s="402" t="s">
        <v>239</v>
      </c>
      <c r="L22" s="127" t="s">
        <v>246</v>
      </c>
      <c r="M22" s="127" t="s">
        <v>28</v>
      </c>
      <c r="N22" s="127" t="s">
        <v>129</v>
      </c>
      <c r="O22" s="416"/>
      <c r="P22" s="416"/>
      <c r="Q22" s="416"/>
      <c r="R22" s="416"/>
    </row>
    <row r="23" spans="1:31" ht="12.6" customHeight="1">
      <c r="B23" s="405" t="s">
        <v>249</v>
      </c>
      <c r="C23" s="396" t="s">
        <v>122</v>
      </c>
      <c r="D23" s="406"/>
      <c r="E23" s="407"/>
      <c r="F23" s="407"/>
      <c r="G23" s="408"/>
      <c r="H23" s="396" t="s">
        <v>122</v>
      </c>
      <c r="I23" s="396" t="s">
        <v>122</v>
      </c>
      <c r="J23" s="396" t="s">
        <v>122</v>
      </c>
      <c r="K23" s="396" t="s">
        <v>122</v>
      </c>
      <c r="L23" s="396" t="s">
        <v>122</v>
      </c>
      <c r="M23" s="396" t="s">
        <v>122</v>
      </c>
      <c r="N23" s="396" t="s">
        <v>122</v>
      </c>
      <c r="O23" s="416"/>
      <c r="P23" s="416"/>
      <c r="Q23" s="416"/>
      <c r="R23" s="416"/>
    </row>
    <row r="24" spans="1:31">
      <c r="B24" s="114" t="s">
        <v>207</v>
      </c>
      <c r="C24" s="258">
        <f xml:space="preserve"> AVERAGE(C13,0)</f>
        <v>114.76976150249997</v>
      </c>
      <c r="D24" s="125"/>
      <c r="E24" s="125"/>
      <c r="F24" s="125"/>
      <c r="G24" s="266"/>
      <c r="H24" s="258">
        <f xml:space="preserve"> AVERAGE(H13,0)</f>
        <v>139.69999999999999</v>
      </c>
      <c r="I24" s="258">
        <f xml:space="preserve"> AVERAGE(I13,0)</f>
        <v>24.930238497500014</v>
      </c>
      <c r="J24" s="258">
        <f xml:space="preserve"> AVERAGE(J13,J14)</f>
        <v>62.898095624999982</v>
      </c>
      <c r="K24" s="258">
        <f xml:space="preserve"> AVERAGE(K13,K14)</f>
        <v>76.801904375000007</v>
      </c>
      <c r="L24" s="258">
        <f xml:space="preserve"> AVERAGE(L13,L14)</f>
        <v>95.751175627499975</v>
      </c>
      <c r="M24" s="258">
        <f xml:space="preserve"> AVERAGE(M13,M14)</f>
        <v>8.8339999999999996</v>
      </c>
      <c r="N24" s="258">
        <f xml:space="preserve"> AVERAGE(N13,0)</f>
        <v>34.766509999999997</v>
      </c>
      <c r="O24" s="416"/>
      <c r="P24" s="416"/>
      <c r="Q24" s="416"/>
      <c r="R24" s="416"/>
    </row>
    <row r="25" spans="1:31">
      <c r="B25" s="297" t="s">
        <v>208</v>
      </c>
      <c r="C25" s="411">
        <f xml:space="preserve"> AVERAGE(C15,0)</f>
        <v>134.89589266125</v>
      </c>
      <c r="D25" s="415"/>
      <c r="E25" s="415"/>
      <c r="F25" s="415"/>
      <c r="G25" s="413"/>
      <c r="H25" s="411">
        <f xml:space="preserve"> AVERAGE(H15, 0)</f>
        <v>139.69999999999999</v>
      </c>
      <c r="I25" s="411">
        <f xml:space="preserve"> AVERAGE(I15, 0)</f>
        <v>4.8041073387499864</v>
      </c>
      <c r="J25" s="411">
        <f xml:space="preserve"> AVERAGE(J16,J15)</f>
        <v>82.238694750000008</v>
      </c>
      <c r="K25" s="411">
        <f xml:space="preserve"> AVERAGE(K16,K15)</f>
        <v>57.461305249999981</v>
      </c>
      <c r="L25" s="411">
        <f xml:space="preserve"> AVERAGE(L16,L15)</f>
        <v>90.750508036250011</v>
      </c>
      <c r="M25" s="411">
        <f xml:space="preserve"> AVERAGE(M16,M15)</f>
        <v>7.1189999999999998</v>
      </c>
      <c r="N25" s="411">
        <f xml:space="preserve"> AVERAGE(N15,0)</f>
        <v>35.727799999999995</v>
      </c>
      <c r="O25" s="416"/>
      <c r="P25" s="416"/>
      <c r="Q25" s="416"/>
      <c r="R25" s="416"/>
    </row>
    <row r="26" spans="1:31">
      <c r="B26" s="421"/>
      <c r="C26" s="416"/>
      <c r="D26" s="422"/>
      <c r="E26" s="423"/>
      <c r="F26" s="423"/>
      <c r="G26" s="424"/>
      <c r="H26" s="425"/>
      <c r="I26" s="426"/>
      <c r="J26" s="427"/>
      <c r="K26" s="427"/>
      <c r="L26" s="427"/>
      <c r="M26" s="427"/>
      <c r="N26" s="425"/>
      <c r="O26" s="416"/>
      <c r="P26" s="416"/>
      <c r="Q26" s="416"/>
      <c r="R26" s="416"/>
    </row>
    <row r="27" spans="1:31">
      <c r="B27" s="422"/>
      <c r="C27" s="416"/>
      <c r="D27" s="422"/>
      <c r="E27" s="423"/>
      <c r="F27" s="423"/>
      <c r="G27" s="424"/>
      <c r="H27" s="425"/>
      <c r="I27" s="428"/>
      <c r="J27" s="425"/>
      <c r="K27" s="425"/>
      <c r="L27" s="429"/>
      <c r="M27" s="430"/>
      <c r="N27" s="429"/>
      <c r="O27" s="416"/>
      <c r="P27" s="416"/>
      <c r="Q27" s="416"/>
      <c r="R27" s="416"/>
    </row>
    <row r="28" spans="1:31" s="88" customFormat="1">
      <c r="A28" s="48"/>
      <c r="B28" s="48" t="s">
        <v>231</v>
      </c>
      <c r="C28" s="48"/>
      <c r="D28" s="48"/>
      <c r="E28" s="48"/>
      <c r="F28" s="48"/>
      <c r="G28" s="48"/>
      <c r="H28" s="48"/>
      <c r="I28" s="48"/>
      <c r="J28" s="48"/>
      <c r="K28" s="48"/>
      <c r="L28" s="48"/>
      <c r="M28" s="48"/>
      <c r="N28" s="48"/>
      <c r="O28" s="416"/>
      <c r="P28" s="416"/>
      <c r="Q28" s="416"/>
      <c r="R28" s="416"/>
      <c r="S28" s="48"/>
      <c r="T28" s="48"/>
      <c r="U28" s="48"/>
      <c r="V28" s="48"/>
      <c r="W28" s="48"/>
      <c r="X28" s="48"/>
      <c r="Y28" s="48"/>
      <c r="Z28" s="48"/>
      <c r="AA28" s="48"/>
      <c r="AB28" s="48"/>
      <c r="AC28" s="48"/>
      <c r="AD28" s="48"/>
      <c r="AE28" s="48"/>
    </row>
    <row r="29" spans="1:31" s="48" customFormat="1">
      <c r="B29" s="467" t="s">
        <v>341</v>
      </c>
    </row>
    <row r="30" spans="1:31" s="88" customFormat="1">
      <c r="A30" s="48"/>
      <c r="B30" s="238" t="s">
        <v>230</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row>
    <row r="31" spans="1:31" s="48" customFormat="1"/>
    <row r="32" spans="1:31" s="48" customFormat="1"/>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sheetData>
  <customSheetViews>
    <customSheetView guid="{E00EC0C4-E70A-4D33-A9FE-7CF308F53A5C}" showRuler="0">
      <selection activeCell="H11" sqref="H11"/>
      <pageMargins left="0.75" right="0.75" top="1" bottom="1" header="0.5" footer="0.5"/>
      <headerFooter alignWithMargins="0"/>
    </customSheetView>
  </customSheetViews>
  <phoneticPr fontId="5" type="noConversion"/>
  <hyperlinks>
    <hyperlink ref="B13" location="CTWW" display="Conv. Tillage Winter Wheat (CTWW)"/>
    <hyperlink ref="B14" location="SF" display="Summer Fallow (SF)"/>
    <hyperlink ref="B15" location="RTWW" display="Reduced Tillage Winter Wheat (RTWW)"/>
    <hyperlink ref="B16" location="CF" display="Chemical Fallow (CF)"/>
    <hyperlink ref="B29" r:id="rId1"/>
  </hyperlinks>
  <printOptions horizontalCentered="1"/>
  <pageMargins left="0.75" right="0.75" top="1" bottom="1" header="0.5" footer="0.5"/>
  <pageSetup scale="70" orientation="landscape" verticalDpi="1200" r:id="rId2"/>
  <headerFooter alignWithMargins="0">
    <oddFooter>&amp;L&amp;A&amp;C&amp;F&amp;R&amp;D</oddFooter>
  </headerFooter>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X306"/>
  <sheetViews>
    <sheetView topLeftCell="A10" zoomScaleNormal="100" workbookViewId="0">
      <selection activeCell="J11" sqref="J11"/>
    </sheetView>
  </sheetViews>
  <sheetFormatPr defaultColWidth="8.7109375" defaultRowHeight="12.75"/>
  <cols>
    <col min="1" max="1" width="8.7109375" style="48"/>
    <col min="2" max="2" width="4.28515625" style="48" customWidth="1"/>
    <col min="3" max="3" width="18" style="114" customWidth="1"/>
    <col min="4" max="5" width="8.7109375" style="113" customWidth="1"/>
    <col min="6" max="9" width="8.7109375" style="114" customWidth="1"/>
    <col min="10" max="24" width="8.7109375" style="48" customWidth="1"/>
    <col min="25" max="16384" width="8.7109375" style="114"/>
  </cols>
  <sheetData>
    <row r="1" spans="1:24" s="48" customFormat="1">
      <c r="D1" s="101"/>
      <c r="E1" s="101"/>
    </row>
    <row r="2" spans="1:24" s="120" customFormat="1" ht="30" customHeight="1">
      <c r="A2" s="129"/>
      <c r="B2" s="129"/>
      <c r="C2" s="393" t="s">
        <v>121</v>
      </c>
      <c r="D2" s="268"/>
      <c r="E2" s="268"/>
      <c r="F2" s="129"/>
      <c r="G2" s="129"/>
      <c r="H2" s="129"/>
      <c r="I2" s="129"/>
      <c r="J2" s="129"/>
      <c r="K2" s="129"/>
      <c r="L2" s="129"/>
      <c r="M2" s="129"/>
      <c r="N2" s="129"/>
      <c r="O2" s="129"/>
      <c r="P2" s="129"/>
      <c r="Q2" s="129"/>
      <c r="R2" s="129"/>
      <c r="S2" s="129"/>
      <c r="T2" s="129"/>
      <c r="U2" s="129"/>
      <c r="V2" s="129"/>
      <c r="W2" s="129"/>
      <c r="X2" s="129"/>
    </row>
    <row r="3" spans="1:24">
      <c r="B3" s="114"/>
      <c r="C3" s="112"/>
    </row>
    <row r="4" spans="1:24" ht="15.75">
      <c r="B4" s="114"/>
      <c r="C4" s="112"/>
      <c r="D4" s="115" t="s">
        <v>233</v>
      </c>
      <c r="I4" s="119"/>
      <c r="J4" s="129"/>
    </row>
    <row r="5" spans="1:24">
      <c r="B5" s="114"/>
      <c r="C5" s="112"/>
      <c r="D5" s="115" t="s">
        <v>237</v>
      </c>
      <c r="I5" s="117"/>
      <c r="J5" s="150"/>
    </row>
    <row r="6" spans="1:24">
      <c r="B6" s="114"/>
      <c r="C6" s="116" t="s">
        <v>241</v>
      </c>
      <c r="D6" s="115" t="s">
        <v>244</v>
      </c>
      <c r="I6" s="121"/>
      <c r="J6" s="150"/>
    </row>
    <row r="7" spans="1:24">
      <c r="B7" s="114"/>
      <c r="C7" s="117" t="s">
        <v>132</v>
      </c>
      <c r="D7" s="118">
        <f>+Summary!I13</f>
        <v>49.860476995000028</v>
      </c>
    </row>
    <row r="8" spans="1:24">
      <c r="B8" s="114"/>
      <c r="C8" s="121" t="s">
        <v>174</v>
      </c>
      <c r="D8" s="118"/>
    </row>
    <row r="9" spans="1:24">
      <c r="B9" s="114"/>
      <c r="C9" s="121" t="s">
        <v>175</v>
      </c>
      <c r="D9" s="118">
        <f>+Summary!I15</f>
        <v>9.6082146774999728</v>
      </c>
    </row>
    <row r="10" spans="1:24">
      <c r="B10" s="121"/>
      <c r="C10" s="121" t="s">
        <v>176</v>
      </c>
      <c r="D10" s="118"/>
      <c r="M10" s="71"/>
      <c r="N10" s="150"/>
    </row>
    <row r="11" spans="1:24">
      <c r="B11" s="121"/>
      <c r="C11" s="121"/>
      <c r="D11" s="118"/>
      <c r="M11" s="71"/>
      <c r="N11" s="150"/>
    </row>
    <row r="12" spans="1:24">
      <c r="B12" s="121"/>
      <c r="C12" s="121"/>
      <c r="D12" s="118"/>
      <c r="M12" s="71"/>
      <c r="N12" s="150"/>
    </row>
    <row r="13" spans="1:24">
      <c r="B13" s="121"/>
      <c r="C13" s="121"/>
      <c r="D13" s="118"/>
      <c r="M13" s="71"/>
      <c r="N13" s="150"/>
    </row>
    <row r="14" spans="1:24">
      <c r="B14" s="121"/>
      <c r="C14" s="121"/>
      <c r="D14" s="118"/>
      <c r="M14" s="71"/>
      <c r="N14" s="150"/>
    </row>
    <row r="15" spans="1:24">
      <c r="B15" s="121"/>
      <c r="C15" s="121"/>
      <c r="D15" s="118"/>
      <c r="I15" s="123"/>
      <c r="M15" s="71"/>
      <c r="N15" s="150"/>
    </row>
    <row r="16" spans="1:24">
      <c r="B16" s="121"/>
      <c r="C16" s="125"/>
      <c r="D16" s="118"/>
      <c r="I16" s="123"/>
      <c r="M16" s="71"/>
      <c r="N16" s="150"/>
    </row>
    <row r="17" spans="2:9">
      <c r="B17" s="114"/>
      <c r="C17" s="125"/>
      <c r="D17" s="118"/>
      <c r="I17" s="123"/>
    </row>
    <row r="18" spans="2:9">
      <c r="B18" s="114"/>
      <c r="C18" s="125"/>
      <c r="D18" s="118"/>
      <c r="I18" s="123"/>
    </row>
    <row r="19" spans="2:9">
      <c r="B19" s="114"/>
      <c r="C19" s="125"/>
      <c r="D19" s="118"/>
      <c r="I19" s="123"/>
    </row>
    <row r="20" spans="2:9">
      <c r="B20" s="114"/>
      <c r="C20" s="125"/>
      <c r="D20" s="118"/>
      <c r="I20" s="123"/>
    </row>
    <row r="21" spans="2:9">
      <c r="B21" s="114"/>
      <c r="C21" s="125"/>
      <c r="D21" s="118"/>
    </row>
    <row r="22" spans="2:9">
      <c r="B22" s="114"/>
      <c r="C22" s="125"/>
      <c r="D22" s="118"/>
    </row>
    <row r="23" spans="2:9">
      <c r="B23" s="114"/>
      <c r="C23" s="125"/>
      <c r="D23" s="118"/>
    </row>
    <row r="24" spans="2:9">
      <c r="B24" s="114"/>
      <c r="C24" s="125"/>
      <c r="D24" s="118"/>
    </row>
    <row r="25" spans="2:9">
      <c r="B25" s="114"/>
      <c r="C25" s="125"/>
      <c r="D25" s="118"/>
    </row>
    <row r="26" spans="2:9">
      <c r="B26" s="114"/>
      <c r="C26" s="125"/>
      <c r="D26" s="126" t="s">
        <v>233</v>
      </c>
    </row>
    <row r="27" spans="2:9">
      <c r="B27" s="114"/>
      <c r="C27" s="125"/>
      <c r="D27" s="126" t="s">
        <v>237</v>
      </c>
    </row>
    <row r="28" spans="2:9">
      <c r="B28" s="114"/>
      <c r="C28" s="116" t="s">
        <v>249</v>
      </c>
      <c r="D28" s="126" t="s">
        <v>244</v>
      </c>
    </row>
    <row r="29" spans="2:9">
      <c r="B29" s="114"/>
      <c r="C29" s="114" t="s">
        <v>177</v>
      </c>
      <c r="D29" s="118">
        <f>+Summary!I24</f>
        <v>24.930238497500014</v>
      </c>
    </row>
    <row r="30" spans="2:9">
      <c r="B30" s="114"/>
      <c r="C30" s="114" t="s">
        <v>178</v>
      </c>
      <c r="D30" s="118">
        <f>+Summary!I25</f>
        <v>4.8041073387499864</v>
      </c>
    </row>
    <row r="31" spans="2:9">
      <c r="B31" s="114"/>
      <c r="D31" s="118"/>
    </row>
    <row r="32" spans="2:9">
      <c r="B32" s="114"/>
      <c r="D32" s="118"/>
    </row>
    <row r="33" spans="2:5">
      <c r="B33" s="114"/>
      <c r="D33" s="118"/>
    </row>
    <row r="34" spans="2:5">
      <c r="B34" s="114"/>
      <c r="D34" s="118"/>
    </row>
    <row r="35" spans="2:5">
      <c r="B35" s="114"/>
      <c r="D35" s="118"/>
    </row>
    <row r="36" spans="2:5">
      <c r="B36" s="114"/>
      <c r="D36" s="118"/>
    </row>
    <row r="37" spans="2:5">
      <c r="B37" s="114"/>
      <c r="D37" s="118"/>
    </row>
    <row r="38" spans="2:5">
      <c r="B38" s="114"/>
      <c r="D38" s="118"/>
    </row>
    <row r="39" spans="2:5">
      <c r="B39" s="114"/>
      <c r="D39" s="118"/>
    </row>
    <row r="40" spans="2:5">
      <c r="B40" s="114"/>
      <c r="D40" s="118"/>
    </row>
    <row r="41" spans="2:5">
      <c r="B41" s="114"/>
      <c r="D41" s="118"/>
    </row>
    <row r="42" spans="2:5">
      <c r="B42" s="114"/>
      <c r="D42" s="118"/>
    </row>
    <row r="43" spans="2:5">
      <c r="B43" s="114"/>
      <c r="D43" s="118"/>
    </row>
    <row r="44" spans="2:5">
      <c r="B44" s="114"/>
    </row>
    <row r="45" spans="2:5">
      <c r="B45" s="114"/>
    </row>
    <row r="46" spans="2:5">
      <c r="B46" s="114"/>
    </row>
    <row r="47" spans="2:5" ht="15.75">
      <c r="B47" s="114"/>
      <c r="C47" s="119" t="s">
        <v>205</v>
      </c>
      <c r="D47" s="120"/>
      <c r="E47" s="119" t="s">
        <v>131</v>
      </c>
    </row>
    <row r="48" spans="2:5">
      <c r="B48" s="114"/>
      <c r="C48" s="133" t="s">
        <v>134</v>
      </c>
      <c r="D48" s="122"/>
    </row>
    <row r="49" spans="2:5">
      <c r="B49" s="114"/>
      <c r="C49" s="269">
        <f>Summary!$G$13</f>
        <v>5.08</v>
      </c>
      <c r="D49" s="122"/>
      <c r="E49" s="124" t="s">
        <v>206</v>
      </c>
    </row>
    <row r="50" spans="2:5">
      <c r="B50" s="114"/>
      <c r="C50" s="134">
        <f>+Summary!$G$15</f>
        <v>5.08</v>
      </c>
      <c r="D50" s="114"/>
      <c r="E50" s="123" t="s">
        <v>282</v>
      </c>
    </row>
    <row r="51" spans="2:5">
      <c r="B51" s="114"/>
    </row>
    <row r="52" spans="2:5" s="48" customFormat="1">
      <c r="D52" s="101"/>
      <c r="E52" s="101"/>
    </row>
    <row r="53" spans="2:5" s="48" customFormat="1">
      <c r="D53" s="101"/>
      <c r="E53" s="101"/>
    </row>
    <row r="54" spans="2:5" s="48" customFormat="1">
      <c r="D54" s="101"/>
      <c r="E54" s="101"/>
    </row>
    <row r="55" spans="2:5" s="48" customFormat="1">
      <c r="D55" s="101"/>
      <c r="E55" s="101"/>
    </row>
    <row r="56" spans="2:5" s="48" customFormat="1">
      <c r="D56" s="101"/>
      <c r="E56" s="101"/>
    </row>
    <row r="57" spans="2:5" s="48" customFormat="1">
      <c r="D57" s="101"/>
      <c r="E57" s="101"/>
    </row>
    <row r="58" spans="2:5" s="48" customFormat="1">
      <c r="D58" s="101"/>
      <c r="E58" s="101"/>
    </row>
    <row r="59" spans="2:5" s="48" customFormat="1">
      <c r="D59" s="101"/>
      <c r="E59" s="101"/>
    </row>
    <row r="60" spans="2:5" s="48" customFormat="1">
      <c r="D60" s="101"/>
      <c r="E60" s="101"/>
    </row>
    <row r="61" spans="2:5" s="48" customFormat="1">
      <c r="D61" s="101"/>
      <c r="E61" s="101"/>
    </row>
    <row r="62" spans="2:5" s="48" customFormat="1">
      <c r="D62" s="101"/>
      <c r="E62" s="101"/>
    </row>
    <row r="63" spans="2:5" s="48" customFormat="1">
      <c r="D63" s="101"/>
      <c r="E63" s="101"/>
    </row>
    <row r="64" spans="2:5" s="48" customFormat="1">
      <c r="D64" s="101"/>
      <c r="E64" s="101"/>
    </row>
    <row r="65" spans="4:5" s="48" customFormat="1">
      <c r="D65" s="101"/>
      <c r="E65" s="101"/>
    </row>
    <row r="66" spans="4:5" s="48" customFormat="1">
      <c r="D66" s="101"/>
      <c r="E66" s="101"/>
    </row>
    <row r="67" spans="4:5" s="48" customFormat="1">
      <c r="D67" s="101"/>
      <c r="E67" s="101"/>
    </row>
    <row r="68" spans="4:5" s="48" customFormat="1">
      <c r="D68" s="101"/>
      <c r="E68" s="101"/>
    </row>
    <row r="69" spans="4:5" s="48" customFormat="1">
      <c r="D69" s="101"/>
      <c r="E69" s="101"/>
    </row>
    <row r="70" spans="4:5" s="48" customFormat="1">
      <c r="D70" s="101"/>
      <c r="E70" s="101"/>
    </row>
    <row r="71" spans="4:5" s="48" customFormat="1">
      <c r="D71" s="101"/>
      <c r="E71" s="101"/>
    </row>
    <row r="72" spans="4:5" s="48" customFormat="1">
      <c r="D72" s="101"/>
      <c r="E72" s="101"/>
    </row>
    <row r="73" spans="4:5" s="48" customFormat="1">
      <c r="D73" s="101"/>
      <c r="E73" s="101"/>
    </row>
    <row r="74" spans="4:5" s="48" customFormat="1">
      <c r="D74" s="101"/>
      <c r="E74" s="101"/>
    </row>
    <row r="75" spans="4:5" s="48" customFormat="1">
      <c r="D75" s="101"/>
      <c r="E75" s="101"/>
    </row>
    <row r="76" spans="4:5" s="48" customFormat="1">
      <c r="D76" s="101"/>
      <c r="E76" s="101"/>
    </row>
    <row r="77" spans="4:5" s="48" customFormat="1">
      <c r="D77" s="101"/>
      <c r="E77" s="101"/>
    </row>
    <row r="78" spans="4:5" s="48" customFormat="1">
      <c r="D78" s="101"/>
      <c r="E78" s="101"/>
    </row>
    <row r="79" spans="4:5" s="48" customFormat="1">
      <c r="D79" s="101"/>
      <c r="E79" s="101"/>
    </row>
    <row r="80" spans="4:5" s="48" customFormat="1">
      <c r="D80" s="101"/>
      <c r="E80" s="101"/>
    </row>
    <row r="81" spans="4:5" s="48" customFormat="1">
      <c r="D81" s="101"/>
      <c r="E81" s="101"/>
    </row>
    <row r="82" spans="4:5" s="48" customFormat="1">
      <c r="D82" s="101"/>
      <c r="E82" s="101"/>
    </row>
    <row r="83" spans="4:5" s="48" customFormat="1">
      <c r="D83" s="101"/>
      <c r="E83" s="101"/>
    </row>
    <row r="84" spans="4:5" s="48" customFormat="1">
      <c r="D84" s="101"/>
      <c r="E84" s="101"/>
    </row>
    <row r="85" spans="4:5" s="48" customFormat="1">
      <c r="D85" s="101"/>
      <c r="E85" s="101"/>
    </row>
    <row r="86" spans="4:5" s="48" customFormat="1">
      <c r="D86" s="101"/>
      <c r="E86" s="101"/>
    </row>
    <row r="87" spans="4:5" s="48" customFormat="1">
      <c r="D87" s="101"/>
      <c r="E87" s="101"/>
    </row>
    <row r="88" spans="4:5" s="48" customFormat="1">
      <c r="D88" s="101"/>
      <c r="E88" s="101"/>
    </row>
    <row r="89" spans="4:5" s="48" customFormat="1">
      <c r="D89" s="101"/>
      <c r="E89" s="101"/>
    </row>
    <row r="90" spans="4:5" s="48" customFormat="1">
      <c r="D90" s="101"/>
      <c r="E90" s="101"/>
    </row>
    <row r="91" spans="4:5" s="48" customFormat="1">
      <c r="D91" s="101"/>
      <c r="E91" s="101"/>
    </row>
    <row r="92" spans="4:5" s="48" customFormat="1">
      <c r="D92" s="101"/>
      <c r="E92" s="101"/>
    </row>
    <row r="93" spans="4:5" s="48" customFormat="1">
      <c r="D93" s="101"/>
      <c r="E93" s="101"/>
    </row>
    <row r="94" spans="4:5" s="48" customFormat="1">
      <c r="D94" s="101"/>
      <c r="E94" s="101"/>
    </row>
    <row r="95" spans="4:5" s="48" customFormat="1">
      <c r="D95" s="101"/>
      <c r="E95" s="101"/>
    </row>
    <row r="96" spans="4:5" s="48" customFormat="1">
      <c r="D96" s="101"/>
      <c r="E96" s="101"/>
    </row>
    <row r="97" spans="4:5" s="48" customFormat="1">
      <c r="D97" s="101"/>
      <c r="E97" s="101"/>
    </row>
    <row r="98" spans="4:5" s="48" customFormat="1">
      <c r="D98" s="101"/>
      <c r="E98" s="101"/>
    </row>
    <row r="99" spans="4:5" s="48" customFormat="1">
      <c r="D99" s="101"/>
      <c r="E99" s="101"/>
    </row>
    <row r="100" spans="4:5" s="48" customFormat="1">
      <c r="D100" s="101"/>
      <c r="E100" s="101"/>
    </row>
    <row r="101" spans="4:5" s="48" customFormat="1">
      <c r="D101" s="101"/>
      <c r="E101" s="101"/>
    </row>
    <row r="102" spans="4:5" s="48" customFormat="1">
      <c r="D102" s="101"/>
      <c r="E102" s="101"/>
    </row>
    <row r="103" spans="4:5" s="48" customFormat="1">
      <c r="D103" s="101"/>
      <c r="E103" s="101"/>
    </row>
    <row r="104" spans="4:5" s="48" customFormat="1">
      <c r="D104" s="101"/>
      <c r="E104" s="101"/>
    </row>
    <row r="105" spans="4:5" s="48" customFormat="1">
      <c r="D105" s="101"/>
      <c r="E105" s="101"/>
    </row>
    <row r="106" spans="4:5" s="48" customFormat="1">
      <c r="D106" s="101"/>
      <c r="E106" s="101"/>
    </row>
    <row r="107" spans="4:5" s="48" customFormat="1">
      <c r="D107" s="101"/>
      <c r="E107" s="101"/>
    </row>
    <row r="108" spans="4:5" s="48" customFormat="1">
      <c r="D108" s="101"/>
      <c r="E108" s="101"/>
    </row>
    <row r="109" spans="4:5" s="48" customFormat="1">
      <c r="D109" s="101"/>
      <c r="E109" s="101"/>
    </row>
    <row r="110" spans="4:5" s="48" customFormat="1">
      <c r="D110" s="101"/>
      <c r="E110" s="101"/>
    </row>
    <row r="111" spans="4:5" s="48" customFormat="1">
      <c r="D111" s="101"/>
      <c r="E111" s="101"/>
    </row>
    <row r="112" spans="4:5" s="48" customFormat="1">
      <c r="D112" s="101"/>
      <c r="E112" s="101"/>
    </row>
    <row r="113" spans="4:5" s="48" customFormat="1">
      <c r="D113" s="101"/>
      <c r="E113" s="101"/>
    </row>
    <row r="114" spans="4:5" s="48" customFormat="1">
      <c r="D114" s="101"/>
      <c r="E114" s="101"/>
    </row>
    <row r="115" spans="4:5" s="48" customFormat="1">
      <c r="D115" s="101"/>
      <c r="E115" s="101"/>
    </row>
    <row r="116" spans="4:5" s="48" customFormat="1">
      <c r="D116" s="101"/>
      <c r="E116" s="101"/>
    </row>
    <row r="117" spans="4:5" s="48" customFormat="1">
      <c r="D117" s="101"/>
      <c r="E117" s="101"/>
    </row>
    <row r="118" spans="4:5" s="48" customFormat="1">
      <c r="D118" s="101"/>
      <c r="E118" s="101"/>
    </row>
    <row r="119" spans="4:5" s="48" customFormat="1">
      <c r="D119" s="101"/>
      <c r="E119" s="101"/>
    </row>
    <row r="120" spans="4:5" s="48" customFormat="1">
      <c r="D120" s="101"/>
      <c r="E120" s="101"/>
    </row>
    <row r="121" spans="4:5" s="48" customFormat="1">
      <c r="D121" s="101"/>
      <c r="E121" s="101"/>
    </row>
    <row r="122" spans="4:5" s="48" customFormat="1">
      <c r="D122" s="101"/>
      <c r="E122" s="101"/>
    </row>
    <row r="123" spans="4:5" s="48" customFormat="1">
      <c r="D123" s="101"/>
      <c r="E123" s="101"/>
    </row>
    <row r="124" spans="4:5" s="48" customFormat="1">
      <c r="D124" s="101"/>
      <c r="E124" s="101"/>
    </row>
    <row r="125" spans="4:5" s="48" customFormat="1">
      <c r="D125" s="101"/>
      <c r="E125" s="101"/>
    </row>
    <row r="126" spans="4:5" s="48" customFormat="1">
      <c r="D126" s="101"/>
      <c r="E126" s="101"/>
    </row>
    <row r="127" spans="4:5" s="48" customFormat="1">
      <c r="D127" s="101"/>
      <c r="E127" s="101"/>
    </row>
    <row r="128" spans="4:5" s="48" customFormat="1">
      <c r="D128" s="101"/>
      <c r="E128" s="101"/>
    </row>
    <row r="129" spans="4:5" s="48" customFormat="1">
      <c r="D129" s="101"/>
      <c r="E129" s="101"/>
    </row>
    <row r="130" spans="4:5" s="48" customFormat="1">
      <c r="D130" s="101"/>
      <c r="E130" s="101"/>
    </row>
    <row r="131" spans="4:5" s="48" customFormat="1">
      <c r="D131" s="101"/>
      <c r="E131" s="101"/>
    </row>
    <row r="132" spans="4:5" s="48" customFormat="1">
      <c r="D132" s="101"/>
      <c r="E132" s="101"/>
    </row>
    <row r="133" spans="4:5" s="48" customFormat="1">
      <c r="D133" s="101"/>
      <c r="E133" s="101"/>
    </row>
    <row r="134" spans="4:5" s="48" customFormat="1">
      <c r="D134" s="101"/>
      <c r="E134" s="101"/>
    </row>
    <row r="135" spans="4:5" s="48" customFormat="1">
      <c r="D135" s="101"/>
      <c r="E135" s="101"/>
    </row>
    <row r="136" spans="4:5" s="48" customFormat="1">
      <c r="D136" s="101"/>
      <c r="E136" s="101"/>
    </row>
    <row r="137" spans="4:5" s="48" customFormat="1">
      <c r="D137" s="101"/>
      <c r="E137" s="101"/>
    </row>
    <row r="138" spans="4:5" s="48" customFormat="1">
      <c r="D138" s="101"/>
      <c r="E138" s="101"/>
    </row>
    <row r="139" spans="4:5" s="48" customFormat="1">
      <c r="D139" s="101"/>
      <c r="E139" s="101"/>
    </row>
    <row r="140" spans="4:5" s="48" customFormat="1">
      <c r="D140" s="101"/>
      <c r="E140" s="101"/>
    </row>
    <row r="141" spans="4:5" s="48" customFormat="1">
      <c r="D141" s="101"/>
      <c r="E141" s="101"/>
    </row>
    <row r="142" spans="4:5" s="48" customFormat="1">
      <c r="D142" s="101"/>
      <c r="E142" s="101"/>
    </row>
    <row r="143" spans="4:5" s="48" customFormat="1">
      <c r="D143" s="101"/>
      <c r="E143" s="101"/>
    </row>
    <row r="144" spans="4:5" s="48" customFormat="1">
      <c r="D144" s="101"/>
      <c r="E144" s="101"/>
    </row>
    <row r="145" spans="4:5" s="48" customFormat="1">
      <c r="D145" s="101"/>
      <c r="E145" s="101"/>
    </row>
    <row r="146" spans="4:5" s="48" customFormat="1">
      <c r="D146" s="101"/>
      <c r="E146" s="101"/>
    </row>
    <row r="147" spans="4:5" s="48" customFormat="1">
      <c r="D147" s="101"/>
      <c r="E147" s="101"/>
    </row>
    <row r="148" spans="4:5" s="48" customFormat="1">
      <c r="D148" s="101"/>
      <c r="E148" s="101"/>
    </row>
    <row r="149" spans="4:5" s="48" customFormat="1">
      <c r="D149" s="101"/>
      <c r="E149" s="101"/>
    </row>
    <row r="150" spans="4:5" s="48" customFormat="1">
      <c r="D150" s="101"/>
      <c r="E150" s="101"/>
    </row>
    <row r="151" spans="4:5" s="48" customFormat="1">
      <c r="D151" s="101"/>
      <c r="E151" s="101"/>
    </row>
    <row r="152" spans="4:5" s="48" customFormat="1">
      <c r="D152" s="101"/>
      <c r="E152" s="101"/>
    </row>
    <row r="153" spans="4:5" s="48" customFormat="1">
      <c r="D153" s="101"/>
      <c r="E153" s="101"/>
    </row>
    <row r="154" spans="4:5" s="48" customFormat="1">
      <c r="D154" s="101"/>
      <c r="E154" s="101"/>
    </row>
    <row r="155" spans="4:5" s="48" customFormat="1">
      <c r="D155" s="101"/>
      <c r="E155" s="101"/>
    </row>
    <row r="156" spans="4:5" s="48" customFormat="1">
      <c r="D156" s="101"/>
      <c r="E156" s="101"/>
    </row>
    <row r="157" spans="4:5" s="48" customFormat="1">
      <c r="D157" s="101"/>
      <c r="E157" s="101"/>
    </row>
    <row r="158" spans="4:5" s="48" customFormat="1">
      <c r="D158" s="101"/>
      <c r="E158" s="101"/>
    </row>
    <row r="159" spans="4:5" s="48" customFormat="1">
      <c r="D159" s="101"/>
      <c r="E159" s="101"/>
    </row>
    <row r="160" spans="4:5" s="48" customFormat="1">
      <c r="D160" s="101"/>
      <c r="E160" s="101"/>
    </row>
    <row r="161" spans="4:5" s="48" customFormat="1">
      <c r="D161" s="101"/>
      <c r="E161" s="101"/>
    </row>
    <row r="162" spans="4:5" s="48" customFormat="1">
      <c r="D162" s="101"/>
      <c r="E162" s="101"/>
    </row>
    <row r="163" spans="4:5" s="48" customFormat="1">
      <c r="D163" s="101"/>
      <c r="E163" s="101"/>
    </row>
    <row r="164" spans="4:5" s="48" customFormat="1">
      <c r="D164" s="101"/>
      <c r="E164" s="101"/>
    </row>
    <row r="165" spans="4:5" s="48" customFormat="1">
      <c r="D165" s="101"/>
      <c r="E165" s="101"/>
    </row>
    <row r="166" spans="4:5" s="48" customFormat="1">
      <c r="D166" s="101"/>
      <c r="E166" s="101"/>
    </row>
    <row r="167" spans="4:5" s="48" customFormat="1">
      <c r="D167" s="101"/>
      <c r="E167" s="101"/>
    </row>
    <row r="168" spans="4:5" s="48" customFormat="1">
      <c r="D168" s="101"/>
      <c r="E168" s="101"/>
    </row>
    <row r="169" spans="4:5" s="48" customFormat="1">
      <c r="D169" s="101"/>
      <c r="E169" s="101"/>
    </row>
    <row r="170" spans="4:5" s="48" customFormat="1">
      <c r="D170" s="101"/>
      <c r="E170" s="101"/>
    </row>
    <row r="171" spans="4:5" s="48" customFormat="1">
      <c r="D171" s="101"/>
      <c r="E171" s="101"/>
    </row>
    <row r="172" spans="4:5" s="48" customFormat="1">
      <c r="D172" s="101"/>
      <c r="E172" s="101"/>
    </row>
    <row r="173" spans="4:5" s="48" customFormat="1">
      <c r="D173" s="101"/>
      <c r="E173" s="101"/>
    </row>
    <row r="174" spans="4:5" s="48" customFormat="1">
      <c r="D174" s="101"/>
      <c r="E174" s="101"/>
    </row>
    <row r="175" spans="4:5" s="48" customFormat="1">
      <c r="D175" s="101"/>
      <c r="E175" s="101"/>
    </row>
    <row r="176" spans="4:5" s="48" customFormat="1">
      <c r="D176" s="101"/>
      <c r="E176" s="101"/>
    </row>
    <row r="177" spans="4:5" s="48" customFormat="1">
      <c r="D177" s="101"/>
      <c r="E177" s="101"/>
    </row>
    <row r="178" spans="4:5" s="48" customFormat="1">
      <c r="D178" s="101"/>
      <c r="E178" s="101"/>
    </row>
    <row r="179" spans="4:5" s="48" customFormat="1">
      <c r="D179" s="101"/>
      <c r="E179" s="101"/>
    </row>
    <row r="180" spans="4:5" s="48" customFormat="1">
      <c r="D180" s="101"/>
      <c r="E180" s="101"/>
    </row>
    <row r="181" spans="4:5" s="48" customFormat="1">
      <c r="D181" s="101"/>
      <c r="E181" s="101"/>
    </row>
    <row r="182" spans="4:5" s="48" customFormat="1">
      <c r="D182" s="101"/>
      <c r="E182" s="101"/>
    </row>
    <row r="183" spans="4:5" s="48" customFormat="1">
      <c r="D183" s="101"/>
      <c r="E183" s="101"/>
    </row>
    <row r="184" spans="4:5" s="48" customFormat="1">
      <c r="D184" s="101"/>
      <c r="E184" s="101"/>
    </row>
    <row r="185" spans="4:5" s="48" customFormat="1">
      <c r="D185" s="101"/>
      <c r="E185" s="101"/>
    </row>
    <row r="186" spans="4:5" s="48" customFormat="1">
      <c r="D186" s="101"/>
      <c r="E186" s="101"/>
    </row>
    <row r="187" spans="4:5" s="48" customFormat="1">
      <c r="D187" s="101"/>
      <c r="E187" s="101"/>
    </row>
    <row r="188" spans="4:5" s="48" customFormat="1">
      <c r="D188" s="101"/>
      <c r="E188" s="101"/>
    </row>
    <row r="189" spans="4:5" s="48" customFormat="1">
      <c r="D189" s="101"/>
      <c r="E189" s="101"/>
    </row>
    <row r="190" spans="4:5" s="48" customFormat="1">
      <c r="D190" s="101"/>
      <c r="E190" s="101"/>
    </row>
    <row r="191" spans="4:5" s="48" customFormat="1">
      <c r="D191" s="101"/>
      <c r="E191" s="101"/>
    </row>
    <row r="192" spans="4:5" s="48" customFormat="1">
      <c r="D192" s="101"/>
      <c r="E192" s="101"/>
    </row>
    <row r="193" spans="4:5" s="48" customFormat="1">
      <c r="D193" s="101"/>
      <c r="E193" s="101"/>
    </row>
    <row r="194" spans="4:5" s="48" customFormat="1">
      <c r="D194" s="101"/>
      <c r="E194" s="101"/>
    </row>
    <row r="195" spans="4:5" s="48" customFormat="1">
      <c r="D195" s="101"/>
      <c r="E195" s="101"/>
    </row>
    <row r="196" spans="4:5" s="48" customFormat="1">
      <c r="D196" s="101"/>
      <c r="E196" s="101"/>
    </row>
    <row r="197" spans="4:5" s="48" customFormat="1">
      <c r="D197" s="101"/>
      <c r="E197" s="101"/>
    </row>
    <row r="198" spans="4:5" s="48" customFormat="1">
      <c r="D198" s="101"/>
      <c r="E198" s="101"/>
    </row>
    <row r="199" spans="4:5" s="48" customFormat="1">
      <c r="D199" s="101"/>
      <c r="E199" s="101"/>
    </row>
    <row r="200" spans="4:5" s="48" customFormat="1">
      <c r="D200" s="101"/>
      <c r="E200" s="101"/>
    </row>
    <row r="201" spans="4:5" s="48" customFormat="1">
      <c r="D201" s="101"/>
      <c r="E201" s="101"/>
    </row>
    <row r="202" spans="4:5" s="48" customFormat="1">
      <c r="D202" s="101"/>
      <c r="E202" s="101"/>
    </row>
    <row r="203" spans="4:5" s="48" customFormat="1">
      <c r="D203" s="101"/>
      <c r="E203" s="101"/>
    </row>
    <row r="204" spans="4:5" s="48" customFormat="1">
      <c r="D204" s="101"/>
      <c r="E204" s="101"/>
    </row>
    <row r="205" spans="4:5" s="48" customFormat="1">
      <c r="D205" s="101"/>
      <c r="E205" s="101"/>
    </row>
    <row r="206" spans="4:5" s="48" customFormat="1">
      <c r="D206" s="101"/>
      <c r="E206" s="101"/>
    </row>
    <row r="207" spans="4:5" s="48" customFormat="1">
      <c r="D207" s="101"/>
      <c r="E207" s="101"/>
    </row>
    <row r="208" spans="4:5" s="48" customFormat="1">
      <c r="D208" s="101"/>
      <c r="E208" s="101"/>
    </row>
    <row r="209" spans="4:5" s="48" customFormat="1">
      <c r="D209" s="101"/>
      <c r="E209" s="101"/>
    </row>
    <row r="210" spans="4:5" s="48" customFormat="1">
      <c r="D210" s="101"/>
      <c r="E210" s="101"/>
    </row>
    <row r="211" spans="4:5" s="48" customFormat="1">
      <c r="D211" s="101"/>
      <c r="E211" s="101"/>
    </row>
    <row r="212" spans="4:5" s="48" customFormat="1">
      <c r="D212" s="101"/>
      <c r="E212" s="101"/>
    </row>
    <row r="213" spans="4:5" s="48" customFormat="1">
      <c r="D213" s="101"/>
      <c r="E213" s="101"/>
    </row>
    <row r="214" spans="4:5" s="48" customFormat="1">
      <c r="D214" s="101"/>
      <c r="E214" s="101"/>
    </row>
    <row r="215" spans="4:5" s="48" customFormat="1">
      <c r="D215" s="101"/>
      <c r="E215" s="101"/>
    </row>
    <row r="216" spans="4:5" s="48" customFormat="1">
      <c r="D216" s="101"/>
      <c r="E216" s="101"/>
    </row>
    <row r="217" spans="4:5" s="48" customFormat="1">
      <c r="D217" s="101"/>
      <c r="E217" s="101"/>
    </row>
    <row r="218" spans="4:5" s="48" customFormat="1">
      <c r="D218" s="101"/>
      <c r="E218" s="101"/>
    </row>
    <row r="219" spans="4:5" s="48" customFormat="1">
      <c r="D219" s="101"/>
      <c r="E219" s="101"/>
    </row>
    <row r="220" spans="4:5" s="48" customFormat="1">
      <c r="D220" s="101"/>
      <c r="E220" s="101"/>
    </row>
    <row r="221" spans="4:5" s="48" customFormat="1">
      <c r="D221" s="101"/>
      <c r="E221" s="101"/>
    </row>
    <row r="222" spans="4:5" s="48" customFormat="1">
      <c r="D222" s="101"/>
      <c r="E222" s="101"/>
    </row>
    <row r="223" spans="4:5" s="48" customFormat="1">
      <c r="D223" s="101"/>
      <c r="E223" s="101"/>
    </row>
    <row r="224" spans="4:5" s="48" customFormat="1">
      <c r="D224" s="101"/>
      <c r="E224" s="101"/>
    </row>
    <row r="225" spans="4:5" s="48" customFormat="1">
      <c r="D225" s="101"/>
      <c r="E225" s="101"/>
    </row>
    <row r="226" spans="4:5" s="48" customFormat="1">
      <c r="D226" s="101"/>
      <c r="E226" s="101"/>
    </row>
    <row r="227" spans="4:5" s="48" customFormat="1">
      <c r="D227" s="101"/>
      <c r="E227" s="101"/>
    </row>
    <row r="228" spans="4:5" s="48" customFormat="1">
      <c r="D228" s="101"/>
      <c r="E228" s="101"/>
    </row>
    <row r="229" spans="4:5" s="48" customFormat="1">
      <c r="D229" s="101"/>
      <c r="E229" s="101"/>
    </row>
    <row r="230" spans="4:5" s="48" customFormat="1">
      <c r="D230" s="101"/>
      <c r="E230" s="101"/>
    </row>
    <row r="231" spans="4:5" s="48" customFormat="1">
      <c r="D231" s="101"/>
      <c r="E231" s="101"/>
    </row>
    <row r="232" spans="4:5" s="48" customFormat="1">
      <c r="D232" s="101"/>
      <c r="E232" s="101"/>
    </row>
    <row r="233" spans="4:5" s="48" customFormat="1">
      <c r="D233" s="101"/>
      <c r="E233" s="101"/>
    </row>
    <row r="234" spans="4:5" s="48" customFormat="1">
      <c r="D234" s="101"/>
      <c r="E234" s="101"/>
    </row>
    <row r="235" spans="4:5" s="48" customFormat="1">
      <c r="D235" s="101"/>
      <c r="E235" s="101"/>
    </row>
    <row r="236" spans="4:5" s="48" customFormat="1">
      <c r="D236" s="101"/>
      <c r="E236" s="101"/>
    </row>
    <row r="237" spans="4:5" s="48" customFormat="1">
      <c r="D237" s="101"/>
      <c r="E237" s="101"/>
    </row>
    <row r="238" spans="4:5" s="48" customFormat="1">
      <c r="D238" s="101"/>
      <c r="E238" s="101"/>
    </row>
    <row r="239" spans="4:5" s="48" customFormat="1">
      <c r="D239" s="101"/>
      <c r="E239" s="101"/>
    </row>
    <row r="240" spans="4:5" s="48" customFormat="1">
      <c r="D240" s="101"/>
      <c r="E240" s="101"/>
    </row>
    <row r="241" spans="4:5" s="48" customFormat="1">
      <c r="D241" s="101"/>
      <c r="E241" s="101"/>
    </row>
    <row r="242" spans="4:5" s="48" customFormat="1">
      <c r="D242" s="101"/>
      <c r="E242" s="101"/>
    </row>
    <row r="243" spans="4:5" s="48" customFormat="1">
      <c r="D243" s="101"/>
      <c r="E243" s="101"/>
    </row>
    <row r="244" spans="4:5" s="48" customFormat="1">
      <c r="D244" s="101"/>
      <c r="E244" s="101"/>
    </row>
    <row r="245" spans="4:5" s="48" customFormat="1">
      <c r="D245" s="101"/>
      <c r="E245" s="101"/>
    </row>
    <row r="246" spans="4:5" s="48" customFormat="1">
      <c r="D246" s="101"/>
      <c r="E246" s="101"/>
    </row>
    <row r="247" spans="4:5" s="48" customFormat="1">
      <c r="D247" s="101"/>
      <c r="E247" s="101"/>
    </row>
    <row r="248" spans="4:5" s="48" customFormat="1">
      <c r="D248" s="101"/>
      <c r="E248" s="101"/>
    </row>
    <row r="249" spans="4:5" s="48" customFormat="1">
      <c r="D249" s="101"/>
      <c r="E249" s="101"/>
    </row>
    <row r="250" spans="4:5" s="48" customFormat="1">
      <c r="D250" s="101"/>
      <c r="E250" s="101"/>
    </row>
    <row r="251" spans="4:5" s="48" customFormat="1">
      <c r="D251" s="101"/>
      <c r="E251" s="101"/>
    </row>
    <row r="252" spans="4:5" s="48" customFormat="1">
      <c r="D252" s="101"/>
      <c r="E252" s="101"/>
    </row>
    <row r="253" spans="4:5" s="48" customFormat="1">
      <c r="D253" s="101"/>
      <c r="E253" s="101"/>
    </row>
    <row r="254" spans="4:5" s="48" customFormat="1">
      <c r="D254" s="101"/>
      <c r="E254" s="101"/>
    </row>
    <row r="255" spans="4:5" s="48" customFormat="1">
      <c r="D255" s="101"/>
      <c r="E255" s="101"/>
    </row>
    <row r="256" spans="4:5" s="48" customFormat="1">
      <c r="D256" s="101"/>
      <c r="E256" s="101"/>
    </row>
    <row r="257" spans="4:5" s="48" customFormat="1">
      <c r="D257" s="101"/>
      <c r="E257" s="101"/>
    </row>
    <row r="258" spans="4:5" s="48" customFormat="1">
      <c r="D258" s="101"/>
      <c r="E258" s="101"/>
    </row>
    <row r="259" spans="4:5" s="48" customFormat="1">
      <c r="D259" s="101"/>
      <c r="E259" s="101"/>
    </row>
    <row r="260" spans="4:5" s="48" customFormat="1">
      <c r="D260" s="101"/>
      <c r="E260" s="101"/>
    </row>
    <row r="261" spans="4:5" s="48" customFormat="1">
      <c r="D261" s="101"/>
      <c r="E261" s="101"/>
    </row>
    <row r="262" spans="4:5" s="48" customFormat="1">
      <c r="D262" s="101"/>
      <c r="E262" s="101"/>
    </row>
    <row r="263" spans="4:5" s="48" customFormat="1">
      <c r="D263" s="101"/>
      <c r="E263" s="101"/>
    </row>
    <row r="264" spans="4:5" s="48" customFormat="1">
      <c r="D264" s="101"/>
      <c r="E264" s="101"/>
    </row>
    <row r="265" spans="4:5" s="48" customFormat="1">
      <c r="D265" s="101"/>
      <c r="E265" s="101"/>
    </row>
    <row r="266" spans="4:5" s="48" customFormat="1">
      <c r="D266" s="101"/>
      <c r="E266" s="101"/>
    </row>
    <row r="267" spans="4:5" s="48" customFormat="1">
      <c r="D267" s="101"/>
      <c r="E267" s="101"/>
    </row>
    <row r="268" spans="4:5" s="48" customFormat="1">
      <c r="D268" s="101"/>
      <c r="E268" s="101"/>
    </row>
    <row r="269" spans="4:5" s="48" customFormat="1">
      <c r="D269" s="101"/>
      <c r="E269" s="101"/>
    </row>
    <row r="270" spans="4:5" s="48" customFormat="1">
      <c r="D270" s="101"/>
      <c r="E270" s="101"/>
    </row>
    <row r="271" spans="4:5" s="48" customFormat="1">
      <c r="D271" s="101"/>
      <c r="E271" s="101"/>
    </row>
    <row r="272" spans="4:5" s="48" customFormat="1">
      <c r="D272" s="101"/>
      <c r="E272" s="101"/>
    </row>
    <row r="273" spans="4:5" s="48" customFormat="1">
      <c r="D273" s="101"/>
      <c r="E273" s="101"/>
    </row>
    <row r="274" spans="4:5" s="48" customFormat="1">
      <c r="D274" s="101"/>
      <c r="E274" s="101"/>
    </row>
    <row r="275" spans="4:5" s="48" customFormat="1">
      <c r="D275" s="101"/>
      <c r="E275" s="101"/>
    </row>
    <row r="276" spans="4:5" s="48" customFormat="1">
      <c r="D276" s="101"/>
      <c r="E276" s="101"/>
    </row>
    <row r="277" spans="4:5" s="48" customFormat="1">
      <c r="D277" s="101"/>
      <c r="E277" s="101"/>
    </row>
    <row r="278" spans="4:5" s="48" customFormat="1">
      <c r="D278" s="101"/>
      <c r="E278" s="101"/>
    </row>
    <row r="279" spans="4:5" s="48" customFormat="1">
      <c r="D279" s="101"/>
      <c r="E279" s="101"/>
    </row>
    <row r="280" spans="4:5" s="48" customFormat="1">
      <c r="D280" s="101"/>
      <c r="E280" s="101"/>
    </row>
    <row r="281" spans="4:5" s="48" customFormat="1">
      <c r="D281" s="101"/>
      <c r="E281" s="101"/>
    </row>
    <row r="282" spans="4:5" s="48" customFormat="1">
      <c r="D282" s="101"/>
      <c r="E282" s="101"/>
    </row>
    <row r="283" spans="4:5" s="48" customFormat="1">
      <c r="D283" s="101"/>
      <c r="E283" s="101"/>
    </row>
    <row r="284" spans="4:5" s="48" customFormat="1">
      <c r="D284" s="101"/>
      <c r="E284" s="101"/>
    </row>
    <row r="285" spans="4:5" s="48" customFormat="1">
      <c r="D285" s="101"/>
      <c r="E285" s="101"/>
    </row>
    <row r="286" spans="4:5" s="48" customFormat="1">
      <c r="D286" s="101"/>
      <c r="E286" s="101"/>
    </row>
    <row r="287" spans="4:5" s="48" customFormat="1">
      <c r="D287" s="101"/>
      <c r="E287" s="101"/>
    </row>
    <row r="288" spans="4:5" s="48" customFormat="1">
      <c r="D288" s="101"/>
      <c r="E288" s="101"/>
    </row>
    <row r="289" spans="4:5" s="48" customFormat="1">
      <c r="D289" s="101"/>
      <c r="E289" s="101"/>
    </row>
    <row r="290" spans="4:5" s="48" customFormat="1">
      <c r="D290" s="101"/>
      <c r="E290" s="101"/>
    </row>
    <row r="291" spans="4:5" s="48" customFormat="1">
      <c r="D291" s="101"/>
      <c r="E291" s="101"/>
    </row>
    <row r="292" spans="4:5" s="48" customFormat="1">
      <c r="D292" s="101"/>
      <c r="E292" s="101"/>
    </row>
    <row r="293" spans="4:5" s="48" customFormat="1">
      <c r="D293" s="101"/>
      <c r="E293" s="101"/>
    </row>
    <row r="294" spans="4:5" s="48" customFormat="1">
      <c r="D294" s="101"/>
      <c r="E294" s="101"/>
    </row>
    <row r="295" spans="4:5" s="48" customFormat="1">
      <c r="D295" s="101"/>
      <c r="E295" s="101"/>
    </row>
    <row r="296" spans="4:5" s="48" customFormat="1">
      <c r="D296" s="101"/>
      <c r="E296" s="101"/>
    </row>
    <row r="297" spans="4:5" s="48" customFormat="1">
      <c r="D297" s="101"/>
      <c r="E297" s="101"/>
    </row>
    <row r="298" spans="4:5" s="48" customFormat="1">
      <c r="D298" s="101"/>
      <c r="E298" s="101"/>
    </row>
    <row r="299" spans="4:5" s="48" customFormat="1">
      <c r="D299" s="101"/>
      <c r="E299" s="101"/>
    </row>
    <row r="300" spans="4:5" s="48" customFormat="1">
      <c r="D300" s="101"/>
      <c r="E300" s="101"/>
    </row>
    <row r="301" spans="4:5" s="48" customFormat="1">
      <c r="D301" s="101"/>
      <c r="E301" s="101"/>
    </row>
    <row r="302" spans="4:5" s="48" customFormat="1">
      <c r="D302" s="101"/>
      <c r="E302" s="101"/>
    </row>
    <row r="303" spans="4:5" s="48" customFormat="1">
      <c r="D303" s="101"/>
      <c r="E303" s="101"/>
    </row>
    <row r="304" spans="4:5" s="48" customFormat="1">
      <c r="D304" s="101"/>
      <c r="E304" s="101"/>
    </row>
    <row r="305" spans="4:5" s="48" customFormat="1">
      <c r="D305" s="101"/>
      <c r="E305" s="101"/>
    </row>
    <row r="306" spans="4:5" s="48" customFormat="1">
      <c r="D306" s="101"/>
      <c r="E306" s="101"/>
    </row>
  </sheetData>
  <phoneticPr fontId="5" type="noConversion"/>
  <printOptions horizontalCentered="1"/>
  <pageMargins left="0.75" right="0.75" top="1" bottom="1" header="0.5" footer="0.5"/>
  <pageSetup orientation="portrait" verticalDpi="1200"/>
  <headerFooter alignWithMargins="0">
    <oddFooter>&amp;L&amp;A&amp;C&amp;F&amp;R&amp;D</oddFooter>
  </headerFooter>
  <drawing r:id="rId1"/>
</worksheet>
</file>

<file path=xl/worksheets/sheet5.xml><?xml version="1.0" encoding="utf-8"?>
<worksheet xmlns="http://schemas.openxmlformats.org/spreadsheetml/2006/main" xmlns:r="http://schemas.openxmlformats.org/officeDocument/2006/relationships">
  <dimension ref="B2:E51"/>
  <sheetViews>
    <sheetView topLeftCell="A12" zoomScaleNormal="100" workbookViewId="0">
      <selection activeCell="D32" sqref="D32"/>
    </sheetView>
  </sheetViews>
  <sheetFormatPr defaultColWidth="8.7109375" defaultRowHeight="12.75"/>
  <cols>
    <col min="1" max="1" width="3.7109375" style="48" customWidth="1"/>
    <col min="2" max="2" width="27.42578125" style="48" customWidth="1"/>
    <col min="3" max="3" width="14.42578125" style="48" customWidth="1"/>
    <col min="4" max="4" width="8.7109375" style="48" customWidth="1"/>
    <col min="5" max="5" width="19.140625" style="48" customWidth="1"/>
    <col min="6" max="16384" width="8.7109375" style="48"/>
  </cols>
  <sheetData>
    <row r="2" spans="2:5" ht="18" customHeight="1">
      <c r="B2" s="267" t="s">
        <v>112</v>
      </c>
      <c r="C2" s="302"/>
      <c r="D2" s="302"/>
      <c r="E2" s="303"/>
    </row>
    <row r="3" spans="2:5">
      <c r="B3" s="304" t="s">
        <v>69</v>
      </c>
      <c r="C3" s="248"/>
      <c r="D3" s="248"/>
      <c r="E3" s="249"/>
    </row>
    <row r="4" spans="2:5">
      <c r="B4" s="305" t="s">
        <v>136</v>
      </c>
      <c r="C4" s="250"/>
      <c r="D4" s="250"/>
      <c r="E4" s="251"/>
    </row>
    <row r="5" spans="2:5">
      <c r="B5" s="306" t="s">
        <v>70</v>
      </c>
      <c r="C5" s="252"/>
      <c r="D5" s="252"/>
      <c r="E5" s="253"/>
    </row>
    <row r="6" spans="2:5">
      <c r="B6" s="307" t="s">
        <v>71</v>
      </c>
      <c r="C6" s="254"/>
      <c r="D6" s="254"/>
      <c r="E6" s="255"/>
    </row>
    <row r="8" spans="2:5" s="129" customFormat="1" ht="19.5" customHeight="1">
      <c r="B8" s="475" t="s">
        <v>135</v>
      </c>
      <c r="C8" s="476"/>
      <c r="D8" s="476"/>
      <c r="E8" s="476"/>
    </row>
    <row r="9" spans="2:5" s="128" customFormat="1" ht="6" customHeight="1">
      <c r="B9" s="472"/>
      <c r="C9" s="473"/>
      <c r="D9" s="473"/>
      <c r="E9" s="474"/>
    </row>
    <row r="10" spans="2:5">
      <c r="B10" s="270"/>
      <c r="C10" s="271"/>
      <c r="D10" s="272" t="s">
        <v>181</v>
      </c>
      <c r="E10" s="273"/>
    </row>
    <row r="11" spans="2:5">
      <c r="B11" s="274"/>
      <c r="C11" s="275"/>
      <c r="D11" s="276">
        <v>2009</v>
      </c>
      <c r="E11" s="277"/>
    </row>
    <row r="12" spans="2:5">
      <c r="B12" s="278"/>
      <c r="C12" s="279" t="s">
        <v>110</v>
      </c>
      <c r="D12" s="280" t="s">
        <v>55</v>
      </c>
      <c r="E12" s="281"/>
    </row>
    <row r="13" spans="2:5">
      <c r="B13" s="283" t="s">
        <v>54</v>
      </c>
      <c r="C13" s="284"/>
      <c r="D13" s="285"/>
      <c r="E13" s="286"/>
    </row>
    <row r="14" spans="2:5">
      <c r="B14" s="287" t="s">
        <v>56</v>
      </c>
      <c r="C14" s="288" t="s">
        <v>142</v>
      </c>
      <c r="D14" s="299">
        <v>2.25</v>
      </c>
      <c r="E14" s="289"/>
    </row>
    <row r="15" spans="2:5">
      <c r="B15" s="287" t="s">
        <v>57</v>
      </c>
      <c r="C15" s="288" t="s">
        <v>142</v>
      </c>
      <c r="D15" s="299">
        <v>2.75</v>
      </c>
      <c r="E15" s="289"/>
    </row>
    <row r="16" spans="2:5">
      <c r="B16" s="287"/>
      <c r="C16" s="288"/>
      <c r="D16" s="282"/>
      <c r="E16" s="289"/>
    </row>
    <row r="17" spans="2:5">
      <c r="B17" s="290" t="s">
        <v>115</v>
      </c>
      <c r="C17" s="291"/>
      <c r="D17" s="282"/>
      <c r="E17" s="289"/>
    </row>
    <row r="18" spans="2:5">
      <c r="B18" s="287" t="s">
        <v>164</v>
      </c>
      <c r="C18" s="288" t="s">
        <v>198</v>
      </c>
      <c r="D18" s="299">
        <v>0.15</v>
      </c>
      <c r="E18" s="289"/>
    </row>
    <row r="19" spans="2:5">
      <c r="B19" s="292"/>
      <c r="C19" s="293"/>
      <c r="D19" s="293"/>
      <c r="E19" s="289"/>
    </row>
    <row r="20" spans="2:5">
      <c r="B20" s="292"/>
      <c r="C20" s="293"/>
      <c r="D20" s="293"/>
      <c r="E20" s="289"/>
    </row>
    <row r="21" spans="2:5">
      <c r="B21" s="290" t="s">
        <v>116</v>
      </c>
      <c r="C21" s="288"/>
      <c r="D21" s="282"/>
      <c r="E21" s="289"/>
    </row>
    <row r="22" spans="2:5">
      <c r="B22" s="287" t="s">
        <v>58</v>
      </c>
      <c r="C22" s="288" t="s">
        <v>198</v>
      </c>
      <c r="D22" s="299">
        <v>0.41799999999999998</v>
      </c>
      <c r="E22" s="289"/>
    </row>
    <row r="23" spans="2:5">
      <c r="B23" s="287" t="s">
        <v>59</v>
      </c>
      <c r="C23" s="288" t="s">
        <v>198</v>
      </c>
      <c r="D23" s="299">
        <v>1.26</v>
      </c>
      <c r="E23" s="289"/>
    </row>
    <row r="24" spans="2:5">
      <c r="B24" s="287" t="s">
        <v>60</v>
      </c>
      <c r="C24" s="288" t="s">
        <v>198</v>
      </c>
      <c r="D24" s="299">
        <v>0.23</v>
      </c>
      <c r="E24" s="289"/>
    </row>
    <row r="25" spans="2:5">
      <c r="B25" s="292"/>
      <c r="C25" s="293"/>
      <c r="D25" s="293"/>
      <c r="E25" s="289"/>
    </row>
    <row r="26" spans="2:5">
      <c r="B26" s="292"/>
      <c r="C26" s="293"/>
      <c r="D26" s="293"/>
      <c r="E26" s="294"/>
    </row>
    <row r="27" spans="2:5">
      <c r="B27" s="290" t="s">
        <v>61</v>
      </c>
      <c r="C27" s="288"/>
      <c r="D27" s="282"/>
      <c r="E27" s="294"/>
    </row>
    <row r="28" spans="2:5">
      <c r="B28" s="287" t="s">
        <v>155</v>
      </c>
      <c r="C28" s="288" t="s">
        <v>200</v>
      </c>
      <c r="D28" s="299">
        <v>0.2</v>
      </c>
      <c r="E28" s="294"/>
    </row>
    <row r="29" spans="2:5">
      <c r="B29" s="287" t="s">
        <v>154</v>
      </c>
      <c r="C29" s="288" t="s">
        <v>200</v>
      </c>
      <c r="D29" s="299">
        <v>2.3400000000000001E-2</v>
      </c>
      <c r="E29" s="294"/>
    </row>
    <row r="30" spans="2:5">
      <c r="B30" s="292"/>
      <c r="C30" s="293"/>
      <c r="D30" s="293"/>
      <c r="E30" s="294"/>
    </row>
    <row r="31" spans="2:5">
      <c r="B31" s="283" t="s">
        <v>117</v>
      </c>
      <c r="C31" s="288"/>
      <c r="D31" s="282"/>
      <c r="E31" s="294"/>
    </row>
    <row r="32" spans="2:5">
      <c r="B32" s="287" t="s">
        <v>88</v>
      </c>
      <c r="C32" s="288" t="s">
        <v>200</v>
      </c>
      <c r="D32" s="299">
        <v>0.16</v>
      </c>
      <c r="E32" s="294"/>
    </row>
    <row r="33" spans="2:5">
      <c r="B33" s="287" t="s">
        <v>62</v>
      </c>
      <c r="C33" s="288" t="s">
        <v>200</v>
      </c>
      <c r="D33" s="299">
        <v>0.46800000000000003</v>
      </c>
      <c r="E33" s="294"/>
    </row>
    <row r="34" spans="2:5">
      <c r="B34" s="287" t="s">
        <v>89</v>
      </c>
      <c r="C34" s="288" t="s">
        <v>200</v>
      </c>
      <c r="D34" s="299">
        <v>18</v>
      </c>
      <c r="E34" s="294"/>
    </row>
    <row r="35" spans="2:5">
      <c r="B35" s="292"/>
      <c r="C35" s="293"/>
      <c r="D35" s="293"/>
      <c r="E35" s="294"/>
    </row>
    <row r="36" spans="2:5">
      <c r="B36" s="290" t="s">
        <v>63</v>
      </c>
      <c r="C36" s="288"/>
      <c r="D36" s="282"/>
      <c r="E36" s="294"/>
    </row>
    <row r="37" spans="2:5">
      <c r="B37" s="287" t="s">
        <v>64</v>
      </c>
      <c r="C37" s="288" t="s">
        <v>199</v>
      </c>
      <c r="D37" s="299">
        <v>1.75</v>
      </c>
      <c r="E37" s="294"/>
    </row>
    <row r="38" spans="2:5">
      <c r="B38" s="287" t="s">
        <v>72</v>
      </c>
      <c r="C38" s="288" t="s">
        <v>199</v>
      </c>
      <c r="D38" s="299">
        <v>1</v>
      </c>
      <c r="E38" s="294"/>
    </row>
    <row r="39" spans="2:5">
      <c r="B39" s="292"/>
      <c r="C39" s="293"/>
      <c r="D39" s="293"/>
      <c r="E39" s="294"/>
    </row>
    <row r="40" spans="2:5">
      <c r="B40" s="295" t="s">
        <v>285</v>
      </c>
      <c r="C40" s="288" t="s">
        <v>199</v>
      </c>
      <c r="D40" s="299">
        <v>0</v>
      </c>
      <c r="E40" s="294"/>
    </row>
    <row r="41" spans="2:5">
      <c r="B41" s="295"/>
      <c r="C41" s="288"/>
      <c r="D41" s="282"/>
      <c r="E41" s="294"/>
    </row>
    <row r="42" spans="2:5">
      <c r="B42" s="295" t="s">
        <v>302</v>
      </c>
      <c r="C42" s="288" t="s">
        <v>199</v>
      </c>
      <c r="D42" s="299">
        <v>2.9</v>
      </c>
      <c r="E42" s="294"/>
    </row>
    <row r="43" spans="2:5">
      <c r="B43" s="292"/>
      <c r="C43" s="293"/>
      <c r="D43" s="293"/>
      <c r="E43" s="294"/>
    </row>
    <row r="44" spans="2:5">
      <c r="B44" s="290" t="s">
        <v>73</v>
      </c>
      <c r="C44" s="293"/>
      <c r="D44" s="293"/>
      <c r="E44" s="294"/>
    </row>
    <row r="45" spans="2:5">
      <c r="B45" s="292" t="s">
        <v>75</v>
      </c>
      <c r="C45" s="293" t="s">
        <v>74</v>
      </c>
      <c r="D45" s="299">
        <v>20</v>
      </c>
      <c r="E45" s="294"/>
    </row>
    <row r="46" spans="2:5">
      <c r="B46" s="292"/>
      <c r="C46" s="293"/>
      <c r="D46" s="293"/>
      <c r="E46" s="294"/>
    </row>
    <row r="47" spans="2:5">
      <c r="B47" s="296"/>
      <c r="C47" s="297"/>
      <c r="D47" s="297"/>
      <c r="E47" s="298"/>
    </row>
    <row r="48" spans="2:5">
      <c r="B48" s="300" t="s">
        <v>222</v>
      </c>
      <c r="C48" s="300"/>
      <c r="D48" s="300"/>
      <c r="E48" s="301"/>
    </row>
    <row r="50" spans="2:2">
      <c r="B50" s="48" t="s">
        <v>323</v>
      </c>
    </row>
    <row r="51" spans="2:2">
      <c r="B51" s="238" t="s">
        <v>230</v>
      </c>
    </row>
  </sheetData>
  <customSheetViews>
    <customSheetView guid="{E00EC0C4-E70A-4D33-A9FE-7CF308F53A5C}" showRuler="0" topLeftCell="A22">
      <selection activeCell="C31" sqref="C31"/>
      <pageMargins left="0.75" right="0.75" top="1" bottom="1" header="0.5" footer="0.5"/>
      <pageSetup orientation="portrait" verticalDpi="0"/>
      <headerFooter alignWithMargins="0"/>
    </customSheetView>
    <customSheetView guid="{5519EDA0-AC19-11DC-BDFC-0017F2D6B148}">
      <selection activeCell="A21" sqref="A21:IV21"/>
      <pageMargins left="0.75" right="0.75" top="1" bottom="1" header="0.5" footer="0.5"/>
      <pageSetup orientation="portrait" verticalDpi="0"/>
      <headerFooter alignWithMargins="0"/>
    </customSheetView>
  </customSheetViews>
  <mergeCells count="2">
    <mergeCell ref="B9:E9"/>
    <mergeCell ref="B8:E8"/>
  </mergeCells>
  <phoneticPr fontId="5" type="noConversion"/>
  <printOptions horizontalCentered="1"/>
  <pageMargins left="0.75" right="0.75" top="1" bottom="1" header="0.5" footer="0.5"/>
  <pageSetup scale="96" orientation="portrait" verticalDpi="1200" r:id="rId1"/>
  <headerFooter alignWithMargins="0">
    <oddFooter>&amp;L&amp;A&amp;C&amp;F&amp;R&amp;D</oddFooter>
  </headerFooter>
</worksheet>
</file>

<file path=xl/worksheets/sheet6.xml><?xml version="1.0" encoding="utf-8"?>
<worksheet xmlns="http://schemas.openxmlformats.org/spreadsheetml/2006/main" xmlns:r="http://schemas.openxmlformats.org/officeDocument/2006/relationships">
  <dimension ref="A1:AG106"/>
  <sheetViews>
    <sheetView topLeftCell="A12" zoomScaleNormal="100" workbookViewId="0">
      <selection activeCell="H21" sqref="H21"/>
    </sheetView>
  </sheetViews>
  <sheetFormatPr defaultColWidth="8.7109375" defaultRowHeight="12.75"/>
  <cols>
    <col min="1" max="1" width="3.7109375" style="48" customWidth="1"/>
    <col min="2" max="2" width="28.42578125" customWidth="1"/>
    <col min="3" max="3" width="2" customWidth="1"/>
    <col min="4" max="4" width="11.7109375" style="76" customWidth="1"/>
    <col min="5" max="5" width="1.140625" customWidth="1"/>
    <col min="6" max="6" width="10.7109375" style="27" customWidth="1"/>
    <col min="7" max="7" width="1.42578125" customWidth="1"/>
    <col min="8" max="8" width="10.7109375" style="76" customWidth="1"/>
    <col min="9" max="9" width="1.7109375" customWidth="1"/>
    <col min="10" max="10" width="25.42578125" style="40" customWidth="1"/>
    <col min="11" max="11" width="3.28515625" hidden="1" customWidth="1"/>
    <col min="12" max="33" width="8.7109375" style="48" customWidth="1"/>
  </cols>
  <sheetData>
    <row r="1" spans="1:33" s="48" customFormat="1">
      <c r="D1" s="71"/>
      <c r="F1" s="49"/>
      <c r="H1" s="71"/>
    </row>
    <row r="2" spans="1:33" s="48" customFormat="1" ht="18" customHeight="1">
      <c r="B2" s="485" t="s">
        <v>133</v>
      </c>
      <c r="C2" s="486"/>
      <c r="D2" s="486"/>
      <c r="E2" s="486"/>
      <c r="F2" s="486"/>
      <c r="G2" s="486"/>
      <c r="H2" s="486"/>
      <c r="I2" s="486"/>
      <c r="J2" s="487"/>
    </row>
    <row r="3" spans="1:33" s="48" customFormat="1">
      <c r="B3" s="488" t="s">
        <v>69</v>
      </c>
      <c r="C3" s="489"/>
      <c r="D3" s="489"/>
      <c r="E3" s="489"/>
      <c r="F3" s="489"/>
      <c r="G3" s="489"/>
      <c r="H3" s="489"/>
      <c r="I3" s="489"/>
      <c r="J3" s="490"/>
    </row>
    <row r="4" spans="1:33" s="48" customFormat="1">
      <c r="B4" s="491" t="s">
        <v>113</v>
      </c>
      <c r="C4" s="492"/>
      <c r="D4" s="492"/>
      <c r="E4" s="492"/>
      <c r="F4" s="492"/>
      <c r="G4" s="492"/>
      <c r="H4" s="492"/>
      <c r="I4" s="492"/>
      <c r="J4" s="493"/>
    </row>
    <row r="5" spans="1:33" s="48" customFormat="1">
      <c r="B5" s="494" t="s">
        <v>70</v>
      </c>
      <c r="C5" s="495"/>
      <c r="D5" s="495"/>
      <c r="E5" s="495"/>
      <c r="F5" s="495"/>
      <c r="G5" s="495"/>
      <c r="H5" s="495"/>
      <c r="I5" s="495"/>
      <c r="J5" s="496"/>
    </row>
    <row r="6" spans="1:33" s="48" customFormat="1">
      <c r="B6" s="482" t="s">
        <v>71</v>
      </c>
      <c r="C6" s="483"/>
      <c r="D6" s="483"/>
      <c r="E6" s="483"/>
      <c r="F6" s="483"/>
      <c r="G6" s="483"/>
      <c r="H6" s="483"/>
      <c r="I6" s="483"/>
      <c r="J6" s="484"/>
    </row>
    <row r="7" spans="1:33" s="48" customFormat="1" ht="8.25" customHeight="1">
      <c r="D7" s="71"/>
      <c r="F7" s="49"/>
      <c r="H7" s="71"/>
    </row>
    <row r="8" spans="1:33" s="131" customFormat="1" ht="25.5" customHeight="1">
      <c r="A8" s="130"/>
      <c r="B8" s="308" t="s">
        <v>166</v>
      </c>
      <c r="C8" s="308"/>
      <c r="D8" s="309"/>
      <c r="E8" s="308"/>
      <c r="F8" s="310"/>
      <c r="G8" s="308"/>
      <c r="H8" s="309"/>
      <c r="I8" s="308"/>
      <c r="J8" s="308"/>
      <c r="K8" s="130"/>
      <c r="L8" s="130"/>
      <c r="M8" s="130"/>
      <c r="N8" s="130"/>
      <c r="O8" s="130"/>
      <c r="P8" s="130"/>
      <c r="Q8" s="130"/>
      <c r="R8" s="130"/>
      <c r="S8" s="130"/>
      <c r="T8" s="130"/>
      <c r="U8" s="130"/>
      <c r="V8" s="130"/>
      <c r="W8" s="130"/>
      <c r="X8" s="130"/>
      <c r="Y8" s="130"/>
      <c r="Z8" s="130"/>
      <c r="AA8" s="130"/>
      <c r="AB8" s="130"/>
      <c r="AC8" s="130"/>
      <c r="AD8" s="130"/>
      <c r="AE8" s="130"/>
      <c r="AF8" s="130"/>
      <c r="AG8" s="130"/>
    </row>
    <row r="9" spans="1:33" s="42" customFormat="1" ht="3.75" customHeight="1">
      <c r="A9" s="48"/>
      <c r="B9" s="311"/>
      <c r="C9" s="311"/>
      <c r="D9" s="312"/>
      <c r="E9" s="311"/>
      <c r="F9" s="313"/>
      <c r="G9" s="311"/>
      <c r="H9" s="312"/>
      <c r="I9" s="311"/>
      <c r="J9" s="311"/>
      <c r="K9" s="41"/>
      <c r="L9" s="48"/>
      <c r="M9" s="48"/>
      <c r="N9" s="48"/>
      <c r="O9" s="48"/>
      <c r="P9" s="48"/>
      <c r="Q9" s="48"/>
      <c r="R9" s="48"/>
      <c r="S9" s="48"/>
      <c r="T9" s="48"/>
      <c r="U9" s="48"/>
      <c r="V9" s="48"/>
      <c r="W9" s="48"/>
      <c r="X9" s="48"/>
      <c r="Y9" s="48"/>
      <c r="Z9" s="48"/>
      <c r="AA9" s="48"/>
      <c r="AB9" s="48"/>
      <c r="AC9" s="48"/>
      <c r="AD9" s="48"/>
      <c r="AE9" s="48"/>
      <c r="AF9" s="48"/>
      <c r="AG9" s="48"/>
    </row>
    <row r="10" spans="1:33" ht="15">
      <c r="B10" s="2"/>
      <c r="C10" s="2"/>
      <c r="D10" s="3" t="s">
        <v>105</v>
      </c>
      <c r="E10" s="3"/>
      <c r="F10" s="4"/>
      <c r="G10" s="3"/>
      <c r="H10" s="3" t="s">
        <v>106</v>
      </c>
      <c r="I10" s="3"/>
      <c r="J10" s="5" t="s">
        <v>107</v>
      </c>
    </row>
    <row r="11" spans="1:33" ht="15">
      <c r="B11" s="6" t="s">
        <v>108</v>
      </c>
      <c r="C11" s="2"/>
      <c r="D11" s="3" t="s">
        <v>109</v>
      </c>
      <c r="E11" s="3"/>
      <c r="F11" s="4" t="s">
        <v>110</v>
      </c>
      <c r="G11" s="3"/>
      <c r="H11" s="3" t="s">
        <v>298</v>
      </c>
      <c r="I11" s="3"/>
      <c r="J11" s="5" t="s">
        <v>172</v>
      </c>
    </row>
    <row r="12" spans="1:33" ht="5.25" customHeight="1">
      <c r="B12" s="7"/>
      <c r="C12" s="8"/>
      <c r="D12" s="7"/>
      <c r="E12" s="8"/>
      <c r="F12" s="9"/>
      <c r="G12" s="8"/>
      <c r="H12" s="7"/>
      <c r="I12" s="8"/>
      <c r="J12" s="10"/>
      <c r="K12" s="1"/>
    </row>
    <row r="13" spans="1:33">
      <c r="B13" s="11" t="s">
        <v>98</v>
      </c>
      <c r="C13" s="12"/>
      <c r="D13" s="53"/>
      <c r="E13" s="12"/>
      <c r="F13" s="13"/>
      <c r="G13" s="12"/>
      <c r="H13" s="78"/>
      <c r="I13" s="12"/>
      <c r="J13" s="21"/>
    </row>
    <row r="14" spans="1:33" ht="5.0999999999999996" customHeight="1">
      <c r="B14" s="12"/>
      <c r="C14" s="12"/>
      <c r="D14" s="53"/>
      <c r="E14" s="12"/>
      <c r="F14" s="13"/>
      <c r="G14" s="12"/>
      <c r="H14" s="78"/>
      <c r="I14" s="12"/>
      <c r="J14" s="21"/>
    </row>
    <row r="15" spans="1:33">
      <c r="B15" s="12" t="s">
        <v>116</v>
      </c>
      <c r="C15" s="12"/>
      <c r="D15" s="53"/>
      <c r="E15" s="12"/>
      <c r="F15" s="13"/>
      <c r="G15" s="12"/>
      <c r="H15" s="78"/>
      <c r="I15" s="12"/>
      <c r="J15" s="22">
        <f>SUM(J16:J19)</f>
        <v>40.44</v>
      </c>
      <c r="M15" s="50"/>
    </row>
    <row r="16" spans="1:33">
      <c r="B16" s="23" t="s">
        <v>11</v>
      </c>
      <c r="C16" s="12"/>
      <c r="D16" s="314">
        <v>60</v>
      </c>
      <c r="E16" s="12"/>
      <c r="F16" s="24" t="s">
        <v>198</v>
      </c>
      <c r="G16" s="12"/>
      <c r="H16" s="315">
        <f>+Nitrogen</f>
        <v>0.41799999999999998</v>
      </c>
      <c r="I16" s="12"/>
      <c r="J16" s="25">
        <f>D16*H16</f>
        <v>25.08</v>
      </c>
    </row>
    <row r="17" spans="2:10">
      <c r="B17" s="23" t="s">
        <v>12</v>
      </c>
      <c r="C17" s="12"/>
      <c r="D17" s="314">
        <v>10</v>
      </c>
      <c r="E17" s="12"/>
      <c r="F17" s="24" t="s">
        <v>198</v>
      </c>
      <c r="G17" s="12"/>
      <c r="H17" s="315">
        <f>+Phosphorous</f>
        <v>1.26</v>
      </c>
      <c r="I17" s="12"/>
      <c r="J17" s="25">
        <f>D17*H17</f>
        <v>12.6</v>
      </c>
    </row>
    <row r="18" spans="2:10">
      <c r="B18" s="23" t="s">
        <v>91</v>
      </c>
      <c r="C18" s="12"/>
      <c r="D18" s="314">
        <v>12</v>
      </c>
      <c r="E18" s="12">
        <v>5</v>
      </c>
      <c r="F18" s="24" t="s">
        <v>198</v>
      </c>
      <c r="G18" s="12"/>
      <c r="H18" s="315">
        <f>+Sulfur</f>
        <v>0.23</v>
      </c>
      <c r="I18" s="12"/>
      <c r="J18" s="21">
        <f>D18*H18</f>
        <v>2.7600000000000002</v>
      </c>
    </row>
    <row r="19" spans="2:10">
      <c r="B19" s="23"/>
      <c r="C19" s="12"/>
      <c r="D19" s="314"/>
      <c r="E19" s="12"/>
      <c r="F19" s="24"/>
      <c r="G19" s="12"/>
      <c r="H19" s="315"/>
      <c r="I19" s="12"/>
      <c r="J19" s="21">
        <f>D19*H19</f>
        <v>0</v>
      </c>
    </row>
    <row r="20" spans="2:10" ht="5.0999999999999996" customHeight="1">
      <c r="B20" s="12"/>
      <c r="C20" s="12"/>
      <c r="D20" s="53"/>
      <c r="E20" s="12"/>
      <c r="F20" s="13"/>
      <c r="G20" s="12"/>
      <c r="H20" s="78"/>
      <c r="I20" s="12"/>
      <c r="J20" s="25"/>
    </row>
    <row r="21" spans="2:10">
      <c r="B21" s="12" t="s">
        <v>117</v>
      </c>
      <c r="C21" s="12"/>
      <c r="D21" s="53"/>
      <c r="E21" s="12"/>
      <c r="F21" s="13"/>
      <c r="G21" s="12"/>
      <c r="H21" s="78"/>
      <c r="I21" s="12"/>
      <c r="J21" s="26">
        <f>SUM(J22:J25)</f>
        <v>7.4260000000000002</v>
      </c>
    </row>
    <row r="22" spans="2:10">
      <c r="B22" s="23" t="s">
        <v>90</v>
      </c>
      <c r="C22" s="12"/>
      <c r="D22" s="314">
        <v>12</v>
      </c>
      <c r="E22" s="12"/>
      <c r="F22" s="24" t="s">
        <v>200</v>
      </c>
      <c r="G22" s="12"/>
      <c r="H22" s="315">
        <f>+Roundup</f>
        <v>0.46800000000000003</v>
      </c>
      <c r="I22" s="12"/>
      <c r="J22" s="25">
        <f>D22*H22</f>
        <v>5.6160000000000005</v>
      </c>
    </row>
    <row r="23" spans="2:10">
      <c r="B23" s="23" t="s">
        <v>155</v>
      </c>
      <c r="C23" s="12"/>
      <c r="D23" s="314">
        <v>3.2</v>
      </c>
      <c r="E23" s="12"/>
      <c r="F23" s="24" t="s">
        <v>200</v>
      </c>
      <c r="G23" s="12"/>
      <c r="H23" s="315">
        <f>+Excel</f>
        <v>0.2</v>
      </c>
      <c r="I23" s="12"/>
      <c r="J23" s="25">
        <f>D23*H23</f>
        <v>0.64000000000000012</v>
      </c>
    </row>
    <row r="24" spans="2:10">
      <c r="B24" s="23" t="s">
        <v>154</v>
      </c>
      <c r="C24" s="12"/>
      <c r="D24" s="314">
        <v>50</v>
      </c>
      <c r="E24" s="12"/>
      <c r="F24" s="24" t="s">
        <v>200</v>
      </c>
      <c r="G24" s="12"/>
      <c r="H24" s="315">
        <f>+UltraPro</f>
        <v>2.3400000000000001E-2</v>
      </c>
      <c r="I24" s="12"/>
      <c r="J24" s="25">
        <f>D24*H24</f>
        <v>1.17</v>
      </c>
    </row>
    <row r="25" spans="2:10">
      <c r="B25" s="23"/>
      <c r="C25" s="12"/>
      <c r="D25" s="314"/>
      <c r="E25" s="12"/>
      <c r="F25" s="24"/>
      <c r="G25" s="12"/>
      <c r="H25" s="315"/>
      <c r="I25" s="12"/>
      <c r="J25" s="25">
        <f>D25*H25</f>
        <v>0</v>
      </c>
    </row>
    <row r="26" spans="2:10" ht="5.25" customHeight="1">
      <c r="B26" s="12"/>
      <c r="C26" s="12"/>
      <c r="D26" s="73"/>
      <c r="E26" s="12"/>
      <c r="F26" s="13"/>
      <c r="G26" s="12"/>
      <c r="H26" s="78"/>
      <c r="I26" s="12"/>
      <c r="J26" s="25"/>
    </row>
    <row r="27" spans="2:10" ht="12" customHeight="1">
      <c r="B27" s="12" t="s">
        <v>65</v>
      </c>
      <c r="C27" s="12"/>
      <c r="D27" s="73"/>
      <c r="E27" s="12"/>
      <c r="F27" s="13"/>
      <c r="G27" s="12"/>
      <c r="H27" s="78"/>
      <c r="I27" s="12"/>
      <c r="J27" s="26">
        <f>SUM(J28:J32)</f>
        <v>18.9621</v>
      </c>
    </row>
    <row r="28" spans="2:10">
      <c r="B28" s="40" t="s">
        <v>140</v>
      </c>
      <c r="C28" s="12"/>
      <c r="D28" s="395">
        <f>'Machinery Cost'!$K$52</f>
        <v>2.5476000000000001</v>
      </c>
      <c r="E28" s="12"/>
      <c r="F28" s="24" t="s">
        <v>142</v>
      </c>
      <c r="G28" s="12"/>
      <c r="H28" s="315">
        <f>+Diesel</f>
        <v>2.25</v>
      </c>
      <c r="I28" s="12"/>
      <c r="J28" s="25">
        <f>D28*H28</f>
        <v>5.7321</v>
      </c>
    </row>
    <row r="29" spans="2:10">
      <c r="B29" s="40" t="s">
        <v>141</v>
      </c>
      <c r="C29" s="12"/>
      <c r="D29" s="242">
        <v>1</v>
      </c>
      <c r="E29" s="12"/>
      <c r="F29" s="24" t="s">
        <v>199</v>
      </c>
      <c r="G29" s="12"/>
      <c r="H29" s="316">
        <f>'Machinery Cost'!$L$52</f>
        <v>0.95600000000000007</v>
      </c>
      <c r="I29" s="12"/>
      <c r="J29" s="25">
        <f>D29*H29</f>
        <v>0.95600000000000007</v>
      </c>
    </row>
    <row r="30" spans="2:10">
      <c r="B30" s="40" t="s">
        <v>182</v>
      </c>
      <c r="C30" s="12"/>
      <c r="D30" s="242">
        <v>1</v>
      </c>
      <c r="E30" s="51" t="s">
        <v>87</v>
      </c>
      <c r="F30" s="24" t="s">
        <v>199</v>
      </c>
      <c r="G30" s="51" t="s">
        <v>87</v>
      </c>
      <c r="H30" s="316">
        <f>'Machinery Cost'!$G$52</f>
        <v>2.99</v>
      </c>
      <c r="I30" s="51" t="s">
        <v>87</v>
      </c>
      <c r="J30" s="25">
        <f>D30*H30</f>
        <v>2.99</v>
      </c>
    </row>
    <row r="31" spans="2:10">
      <c r="B31" s="40" t="s">
        <v>184</v>
      </c>
      <c r="C31" s="12"/>
      <c r="D31" s="395">
        <f>'Machinery Cost'!$I$52</f>
        <v>0.46419999999999995</v>
      </c>
      <c r="E31" s="51" t="s">
        <v>87</v>
      </c>
      <c r="F31" s="76" t="s">
        <v>199</v>
      </c>
      <c r="G31" s="51" t="s">
        <v>87</v>
      </c>
      <c r="H31" s="315">
        <f>HourlyMachineLabor</f>
        <v>20</v>
      </c>
      <c r="I31" s="51" t="s">
        <v>87</v>
      </c>
      <c r="J31" s="25">
        <f>D31*H31</f>
        <v>9.2839999999999989</v>
      </c>
    </row>
    <row r="32" spans="2:10">
      <c r="B32" s="40"/>
      <c r="C32" s="12"/>
      <c r="D32" s="72"/>
      <c r="E32" s="12"/>
      <c r="F32" s="24"/>
      <c r="G32" s="12"/>
      <c r="H32" s="79"/>
      <c r="I32" s="12"/>
      <c r="J32" s="25">
        <f>D32*H32</f>
        <v>0</v>
      </c>
    </row>
    <row r="33" spans="2:10" ht="5.25" customHeight="1">
      <c r="B33" s="12"/>
      <c r="C33" s="12"/>
      <c r="D33" s="73"/>
      <c r="E33" s="12"/>
      <c r="F33" s="13"/>
      <c r="G33" s="12"/>
      <c r="H33" s="78"/>
      <c r="I33" s="12"/>
      <c r="J33" s="25"/>
    </row>
    <row r="34" spans="2:10">
      <c r="B34" s="12" t="s">
        <v>118</v>
      </c>
      <c r="C34" s="12"/>
      <c r="D34" s="53"/>
      <c r="E34" s="12"/>
      <c r="F34" s="13"/>
      <c r="G34" s="12"/>
      <c r="H34" s="78"/>
      <c r="I34" s="12"/>
      <c r="J34" s="26">
        <f>SUM(J35:J37)</f>
        <v>2.75</v>
      </c>
    </row>
    <row r="35" spans="2:10">
      <c r="B35" s="23" t="s">
        <v>76</v>
      </c>
      <c r="C35" s="12"/>
      <c r="D35" s="314">
        <v>1</v>
      </c>
      <c r="E35" s="12"/>
      <c r="F35" s="24" t="s">
        <v>199</v>
      </c>
      <c r="G35" s="12"/>
      <c r="H35" s="315">
        <f>+RentalSprayer</f>
        <v>1.75</v>
      </c>
      <c r="I35" s="12"/>
      <c r="J35" s="25">
        <f>D35*H35</f>
        <v>1.75</v>
      </c>
    </row>
    <row r="36" spans="2:10">
      <c r="B36" s="23" t="s">
        <v>220</v>
      </c>
      <c r="C36" s="12"/>
      <c r="D36" s="314">
        <v>1</v>
      </c>
      <c r="E36" s="53"/>
      <c r="F36" s="24" t="s">
        <v>199</v>
      </c>
      <c r="G36" s="53"/>
      <c r="H36" s="315">
        <f>+FertilizerApplicator</f>
        <v>1</v>
      </c>
      <c r="I36" s="12"/>
      <c r="J36" s="25">
        <f>D36*H36</f>
        <v>1</v>
      </c>
    </row>
    <row r="37" spans="2:10">
      <c r="B37" s="23"/>
      <c r="C37" s="12"/>
      <c r="D37" s="314"/>
      <c r="E37" s="12"/>
      <c r="F37" s="24"/>
      <c r="G37" s="12"/>
      <c r="H37" s="315"/>
      <c r="I37" s="12"/>
      <c r="J37" s="25">
        <f>D37*H37</f>
        <v>0</v>
      </c>
    </row>
    <row r="38" spans="2:10" ht="5.25" customHeight="1">
      <c r="B38" s="12"/>
      <c r="C38" s="12"/>
      <c r="D38" s="53"/>
      <c r="E38" s="12"/>
      <c r="F38" s="13"/>
      <c r="G38" s="12"/>
      <c r="H38" s="78"/>
      <c r="I38" s="12"/>
      <c r="J38" s="25"/>
    </row>
    <row r="39" spans="2:10">
      <c r="B39" s="12" t="s">
        <v>119</v>
      </c>
      <c r="C39" s="12"/>
      <c r="D39" s="53"/>
      <c r="E39" s="12"/>
      <c r="F39" s="13"/>
      <c r="G39" s="12"/>
      <c r="H39" s="78"/>
      <c r="I39" s="12"/>
      <c r="J39" s="26">
        <f>SUM(J40:K42)</f>
        <v>0</v>
      </c>
    </row>
    <row r="40" spans="2:10">
      <c r="B40" s="40" t="s">
        <v>183</v>
      </c>
      <c r="C40" s="12"/>
      <c r="D40" s="110"/>
      <c r="E40" s="51" t="s">
        <v>87</v>
      </c>
      <c r="F40" s="76"/>
      <c r="G40" s="51" t="s">
        <v>87</v>
      </c>
      <c r="I40" s="51" t="s">
        <v>87</v>
      </c>
      <c r="J40" s="25">
        <f>D40*H40</f>
        <v>0</v>
      </c>
    </row>
    <row r="41" spans="2:10">
      <c r="B41" s="40" t="s">
        <v>185</v>
      </c>
      <c r="C41" s="12"/>
      <c r="D41" s="72"/>
      <c r="E41" s="12"/>
      <c r="F41" s="24"/>
      <c r="G41" s="12"/>
      <c r="H41" s="79"/>
      <c r="I41" s="12"/>
      <c r="J41" s="25">
        <f>D41*H41</f>
        <v>0</v>
      </c>
    </row>
    <row r="42" spans="2:10">
      <c r="B42" s="40"/>
      <c r="C42" s="12"/>
      <c r="D42" s="72"/>
      <c r="E42" s="12"/>
      <c r="F42" s="24"/>
      <c r="G42" s="12"/>
      <c r="H42" s="79"/>
      <c r="I42" s="12"/>
      <c r="J42" s="25">
        <f>D42*H42</f>
        <v>0</v>
      </c>
    </row>
    <row r="43" spans="2:10" ht="5.0999999999999996" customHeight="1">
      <c r="B43" s="12"/>
      <c r="C43" s="12"/>
      <c r="D43" s="53"/>
      <c r="E43" s="12"/>
      <c r="F43" s="13"/>
      <c r="G43" s="12"/>
      <c r="H43" s="53"/>
      <c r="I43" s="12"/>
      <c r="J43" s="25"/>
    </row>
    <row r="44" spans="2:10" ht="14.25">
      <c r="B44" s="12" t="s">
        <v>66</v>
      </c>
      <c r="C44" s="12"/>
      <c r="D44" s="53"/>
      <c r="E44" s="12"/>
      <c r="F44" s="13"/>
      <c r="G44" s="12"/>
      <c r="H44" s="53"/>
      <c r="I44" s="12"/>
      <c r="J44" s="25">
        <f>(J15+J21+J27+J34+J39)*0.05</f>
        <v>3.4789050000000006</v>
      </c>
    </row>
    <row r="45" spans="2:10" ht="14.25">
      <c r="B45" s="12" t="s">
        <v>67</v>
      </c>
      <c r="C45" s="12"/>
      <c r="D45" s="53"/>
      <c r="E45" s="12"/>
      <c r="F45" s="13"/>
      <c r="G45" s="12"/>
      <c r="H45" s="53"/>
      <c r="I45" s="12"/>
      <c r="J45" s="25">
        <f>+(J15 +J21+J27+J34+J39)*0.09*0.5</f>
        <v>3.1310145</v>
      </c>
    </row>
    <row r="46" spans="2:10" ht="5.25" customHeight="1">
      <c r="B46" s="12"/>
      <c r="C46" s="12"/>
      <c r="D46" s="53"/>
      <c r="E46" s="12"/>
      <c r="F46" s="13"/>
      <c r="G46" s="12"/>
      <c r="H46" s="53"/>
      <c r="I46" s="12"/>
      <c r="J46" s="25"/>
    </row>
    <row r="47" spans="2:10">
      <c r="B47" s="61" t="s">
        <v>99</v>
      </c>
      <c r="C47" s="61"/>
      <c r="D47" s="74"/>
      <c r="E47" s="61"/>
      <c r="F47" s="62"/>
      <c r="G47" s="61"/>
      <c r="H47" s="74"/>
      <c r="I47" s="61"/>
      <c r="J47" s="63">
        <f>SUM(J15:J45)-(J15+J21+J27+J34+J39)</f>
        <v>76.188019499999967</v>
      </c>
    </row>
    <row r="48" spans="2:10" ht="5.25" customHeight="1">
      <c r="B48" s="12"/>
      <c r="C48" s="12"/>
      <c r="D48" s="53"/>
      <c r="E48" s="12"/>
      <c r="F48" s="13"/>
      <c r="G48" s="12"/>
      <c r="H48" s="53"/>
      <c r="I48" s="12"/>
      <c r="J48" s="25"/>
    </row>
    <row r="49" spans="2:10" ht="18" customHeight="1">
      <c r="B49" s="11" t="s">
        <v>100</v>
      </c>
      <c r="C49" s="12"/>
      <c r="D49" s="53"/>
      <c r="E49" s="12"/>
      <c r="F49" s="13"/>
      <c r="G49" s="12"/>
      <c r="H49" s="53"/>
      <c r="I49" s="12"/>
      <c r="J49" s="25"/>
    </row>
    <row r="50" spans="2:10">
      <c r="B50" s="52" t="s">
        <v>138</v>
      </c>
      <c r="C50" s="51" t="s">
        <v>87</v>
      </c>
      <c r="D50" s="75" t="s">
        <v>87</v>
      </c>
      <c r="E50" s="12"/>
      <c r="F50" s="13"/>
      <c r="G50" s="12"/>
      <c r="H50" s="53"/>
      <c r="I50" s="12"/>
      <c r="J50" s="335">
        <f>'Machinery Cost'!$D$52</f>
        <v>4.5949999999999998</v>
      </c>
    </row>
    <row r="51" spans="2:10">
      <c r="B51" s="23" t="s">
        <v>139</v>
      </c>
      <c r="C51" s="51" t="s">
        <v>87</v>
      </c>
      <c r="D51" s="75" t="s">
        <v>87</v>
      </c>
      <c r="E51" s="12"/>
      <c r="F51" s="13"/>
      <c r="G51" s="12"/>
      <c r="H51" s="53"/>
      <c r="I51" s="12"/>
      <c r="J51" s="335">
        <f>'Machinery Cost'!$E$52</f>
        <v>3.0649999999999995</v>
      </c>
    </row>
    <row r="52" spans="2:10">
      <c r="B52" s="23" t="s">
        <v>328</v>
      </c>
      <c r="E52" s="12"/>
      <c r="F52" s="13"/>
      <c r="G52" s="12"/>
      <c r="H52" s="53"/>
      <c r="I52" s="12"/>
      <c r="J52" s="335">
        <f>'Machinery Cost'!$F$52</f>
        <v>1.0110000000000001</v>
      </c>
    </row>
    <row r="53" spans="2:10">
      <c r="B53" s="152"/>
      <c r="C53" s="51" t="s">
        <v>87</v>
      </c>
      <c r="D53" s="75" t="s">
        <v>87</v>
      </c>
      <c r="E53" s="51" t="s">
        <v>87</v>
      </c>
      <c r="F53" s="75" t="s">
        <v>87</v>
      </c>
      <c r="G53" s="12"/>
      <c r="H53" s="53"/>
      <c r="I53" s="12"/>
      <c r="J53" s="25"/>
    </row>
    <row r="54" spans="2:10">
      <c r="B54" s="64" t="s">
        <v>153</v>
      </c>
      <c r="C54" s="51" t="s">
        <v>87</v>
      </c>
      <c r="D54" s="75" t="s">
        <v>87</v>
      </c>
      <c r="E54" s="51" t="s">
        <v>87</v>
      </c>
      <c r="F54" s="75" t="s">
        <v>87</v>
      </c>
      <c r="G54" s="12"/>
      <c r="H54" s="53"/>
      <c r="I54" s="12"/>
      <c r="J54" s="336">
        <f>landtax</f>
        <v>2.9</v>
      </c>
    </row>
    <row r="55" spans="2:10" ht="5.25" customHeight="1">
      <c r="B55" s="12"/>
      <c r="C55" s="12"/>
      <c r="D55" s="53"/>
      <c r="E55" s="12"/>
      <c r="F55" s="13"/>
      <c r="G55" s="12"/>
      <c r="H55" s="53"/>
      <c r="I55" s="12"/>
      <c r="J55" s="25"/>
    </row>
    <row r="56" spans="2:10">
      <c r="B56" s="65" t="s">
        <v>101</v>
      </c>
      <c r="C56" s="65"/>
      <c r="D56" s="77"/>
      <c r="E56" s="65"/>
      <c r="F56" s="66"/>
      <c r="G56" s="65"/>
      <c r="H56" s="77"/>
      <c r="I56" s="65"/>
      <c r="J56" s="67">
        <f>SUM(J50:J54)</f>
        <v>11.571</v>
      </c>
    </row>
    <row r="57" spans="2:10">
      <c r="B57" s="65"/>
      <c r="C57" s="65"/>
      <c r="D57" s="77"/>
      <c r="E57" s="65"/>
      <c r="F57" s="66"/>
      <c r="G57" s="65"/>
      <c r="H57" s="77"/>
      <c r="I57" s="65"/>
      <c r="J57" s="67"/>
    </row>
    <row r="58" spans="2:10">
      <c r="B58" s="65" t="s">
        <v>186</v>
      </c>
      <c r="C58" s="65"/>
      <c r="D58" s="77"/>
      <c r="E58" s="65"/>
      <c r="F58" s="66"/>
      <c r="G58" s="65"/>
      <c r="H58" s="77"/>
      <c r="I58" s="65"/>
      <c r="J58" s="67">
        <f>J47+J56</f>
        <v>87.759019499999965</v>
      </c>
    </row>
    <row r="59" spans="2:10">
      <c r="B59" s="8"/>
      <c r="C59" s="8"/>
      <c r="D59" s="7"/>
      <c r="E59" s="8"/>
      <c r="F59" s="9"/>
      <c r="G59" s="8"/>
      <c r="H59" s="7"/>
      <c r="I59" s="8"/>
      <c r="J59" s="103"/>
    </row>
    <row r="60" spans="2:10" s="48" customFormat="1">
      <c r="B60" s="48" t="s">
        <v>218</v>
      </c>
      <c r="D60" s="71"/>
      <c r="F60" s="49"/>
      <c r="H60" s="71"/>
    </row>
    <row r="61" spans="2:10" s="48" customFormat="1" ht="15" customHeight="1">
      <c r="B61" s="479" t="s">
        <v>259</v>
      </c>
      <c r="C61" s="480"/>
      <c r="D61" s="480"/>
      <c r="E61" s="480"/>
      <c r="F61" s="480"/>
      <c r="G61" s="480"/>
      <c r="H61" s="480"/>
      <c r="I61" s="480"/>
      <c r="J61" s="480"/>
    </row>
    <row r="62" spans="2:10" s="48" customFormat="1" ht="15" customHeight="1">
      <c r="B62" s="481" t="s">
        <v>93</v>
      </c>
      <c r="C62" s="480"/>
      <c r="D62" s="480"/>
      <c r="E62" s="480"/>
      <c r="F62" s="480"/>
      <c r="G62" s="480"/>
      <c r="H62" s="480"/>
      <c r="I62" s="480"/>
      <c r="J62" s="480"/>
    </row>
    <row r="63" spans="2:10" s="48" customFormat="1" ht="15" customHeight="1">
      <c r="B63" s="481" t="s">
        <v>94</v>
      </c>
      <c r="C63" s="480"/>
      <c r="D63" s="480"/>
      <c r="E63" s="480"/>
      <c r="F63" s="480"/>
      <c r="G63" s="480"/>
      <c r="H63" s="480"/>
      <c r="I63" s="480"/>
      <c r="J63" s="480"/>
    </row>
    <row r="64" spans="2:10" s="48" customFormat="1" ht="15" customHeight="1">
      <c r="B64" s="479" t="s">
        <v>95</v>
      </c>
      <c r="C64" s="480"/>
      <c r="D64" s="480"/>
      <c r="E64" s="480"/>
      <c r="F64" s="480"/>
      <c r="G64" s="480"/>
      <c r="H64" s="480"/>
      <c r="I64" s="480"/>
      <c r="J64" s="480"/>
    </row>
    <row r="65" spans="2:10" s="48" customFormat="1" ht="15" customHeight="1">
      <c r="B65" s="477" t="s">
        <v>96</v>
      </c>
      <c r="C65" s="478"/>
      <c r="D65" s="478"/>
      <c r="E65" s="478"/>
      <c r="F65" s="478"/>
      <c r="G65" s="478"/>
      <c r="H65" s="478"/>
      <c r="I65" s="478"/>
      <c r="J65" s="478"/>
    </row>
    <row r="66" spans="2:10" s="48" customFormat="1">
      <c r="D66" s="71"/>
      <c r="F66" s="49"/>
      <c r="H66" s="71"/>
    </row>
    <row r="67" spans="2:10" s="48" customFormat="1">
      <c r="D67" s="71"/>
      <c r="F67" s="49"/>
      <c r="H67" s="71"/>
    </row>
    <row r="68" spans="2:10" s="48" customFormat="1">
      <c r="D68" s="71"/>
      <c r="F68" s="49"/>
      <c r="H68" s="71"/>
    </row>
    <row r="69" spans="2:10" s="48" customFormat="1">
      <c r="D69" s="71"/>
      <c r="F69" s="49"/>
      <c r="H69" s="71"/>
    </row>
    <row r="70" spans="2:10" s="48" customFormat="1">
      <c r="D70" s="71"/>
      <c r="F70" s="49"/>
      <c r="H70" s="71"/>
    </row>
    <row r="71" spans="2:10" s="48" customFormat="1">
      <c r="D71" s="71"/>
      <c r="F71" s="49"/>
      <c r="H71" s="71"/>
    </row>
    <row r="72" spans="2:10" s="48" customFormat="1">
      <c r="D72" s="71"/>
      <c r="F72" s="49"/>
      <c r="H72" s="71"/>
    </row>
    <row r="73" spans="2:10" s="48" customFormat="1">
      <c r="D73" s="71"/>
      <c r="F73" s="49"/>
      <c r="H73" s="71"/>
    </row>
    <row r="74" spans="2:10" s="48" customFormat="1">
      <c r="D74" s="71"/>
      <c r="F74" s="49"/>
      <c r="H74" s="71"/>
    </row>
    <row r="75" spans="2:10" s="48" customFormat="1">
      <c r="D75" s="71"/>
      <c r="F75" s="49"/>
      <c r="H75" s="71"/>
    </row>
    <row r="76" spans="2:10" s="48" customFormat="1">
      <c r="D76" s="71"/>
      <c r="F76" s="49"/>
      <c r="H76" s="71"/>
    </row>
    <row r="77" spans="2:10" s="48" customFormat="1">
      <c r="D77" s="71"/>
      <c r="F77" s="49"/>
      <c r="H77" s="71"/>
    </row>
    <row r="78" spans="2:10" s="48" customFormat="1">
      <c r="D78" s="71"/>
      <c r="F78" s="49"/>
      <c r="H78" s="71"/>
    </row>
    <row r="79" spans="2:10" s="48" customFormat="1">
      <c r="D79" s="71"/>
      <c r="F79" s="49"/>
      <c r="H79" s="71"/>
    </row>
    <row r="80" spans="2:10" s="48" customFormat="1">
      <c r="D80" s="71"/>
      <c r="F80" s="49"/>
      <c r="H80" s="71"/>
    </row>
    <row r="81" spans="4:8" s="48" customFormat="1">
      <c r="D81" s="71"/>
      <c r="F81" s="49"/>
      <c r="H81" s="71"/>
    </row>
    <row r="82" spans="4:8" s="48" customFormat="1">
      <c r="D82" s="71"/>
      <c r="F82" s="49"/>
      <c r="H82" s="71"/>
    </row>
    <row r="83" spans="4:8" s="48" customFormat="1">
      <c r="D83" s="71"/>
      <c r="F83" s="49"/>
      <c r="H83" s="71"/>
    </row>
    <row r="84" spans="4:8" s="48" customFormat="1">
      <c r="D84" s="71"/>
      <c r="F84" s="49"/>
      <c r="H84" s="71"/>
    </row>
    <row r="85" spans="4:8" s="48" customFormat="1">
      <c r="D85" s="71"/>
      <c r="F85" s="49"/>
      <c r="H85" s="71"/>
    </row>
    <row r="86" spans="4:8" s="48" customFormat="1">
      <c r="D86" s="71"/>
      <c r="F86" s="49"/>
      <c r="H86" s="71"/>
    </row>
    <row r="87" spans="4:8" s="48" customFormat="1">
      <c r="D87" s="71"/>
      <c r="F87" s="49"/>
      <c r="H87" s="71"/>
    </row>
    <row r="88" spans="4:8" s="48" customFormat="1">
      <c r="D88" s="71"/>
      <c r="F88" s="49"/>
      <c r="H88" s="71"/>
    </row>
    <row r="89" spans="4:8" s="48" customFormat="1">
      <c r="D89" s="71"/>
      <c r="F89" s="49"/>
      <c r="H89" s="71"/>
    </row>
    <row r="90" spans="4:8" s="48" customFormat="1">
      <c r="D90" s="71"/>
      <c r="F90" s="49"/>
      <c r="H90" s="71"/>
    </row>
    <row r="91" spans="4:8" s="48" customFormat="1">
      <c r="D91" s="71"/>
      <c r="F91" s="49"/>
      <c r="H91" s="71"/>
    </row>
    <row r="92" spans="4:8" s="48" customFormat="1">
      <c r="D92" s="71"/>
      <c r="F92" s="49"/>
      <c r="H92" s="71"/>
    </row>
    <row r="93" spans="4:8" s="48" customFormat="1">
      <c r="D93" s="71"/>
      <c r="F93" s="49"/>
      <c r="H93" s="71"/>
    </row>
    <row r="94" spans="4:8" s="48" customFormat="1">
      <c r="D94" s="71"/>
      <c r="F94" s="49"/>
      <c r="H94" s="71"/>
    </row>
    <row r="95" spans="4:8" s="48" customFormat="1">
      <c r="D95" s="71"/>
      <c r="F95" s="49"/>
      <c r="H95" s="71"/>
    </row>
    <row r="96" spans="4:8" s="48" customFormat="1">
      <c r="D96" s="71"/>
      <c r="F96" s="49"/>
      <c r="H96" s="71"/>
    </row>
    <row r="97" spans="4:8" s="48" customFormat="1">
      <c r="D97" s="71"/>
      <c r="F97" s="49"/>
      <c r="H97" s="71"/>
    </row>
    <row r="98" spans="4:8" s="48" customFormat="1">
      <c r="D98" s="71"/>
      <c r="F98" s="49"/>
      <c r="H98" s="71"/>
    </row>
    <row r="99" spans="4:8" s="48" customFormat="1">
      <c r="D99" s="71"/>
      <c r="F99" s="49"/>
      <c r="H99" s="71"/>
    </row>
    <row r="100" spans="4:8" s="48" customFormat="1">
      <c r="D100" s="71"/>
      <c r="F100" s="49"/>
      <c r="H100" s="71"/>
    </row>
    <row r="101" spans="4:8" s="48" customFormat="1">
      <c r="D101" s="71"/>
      <c r="F101" s="49"/>
      <c r="H101" s="71"/>
    </row>
    <row r="102" spans="4:8" s="48" customFormat="1">
      <c r="D102" s="71"/>
      <c r="F102" s="49"/>
      <c r="H102" s="71"/>
    </row>
    <row r="103" spans="4:8" s="48" customFormat="1">
      <c r="D103" s="71"/>
      <c r="F103" s="49"/>
      <c r="H103" s="71"/>
    </row>
    <row r="104" spans="4:8" s="48" customFormat="1">
      <c r="D104" s="71"/>
      <c r="F104" s="49"/>
      <c r="H104" s="71"/>
    </row>
    <row r="105" spans="4:8" s="48" customFormat="1">
      <c r="D105" s="71"/>
      <c r="F105" s="49"/>
      <c r="H105" s="71"/>
    </row>
    <row r="106" spans="4:8" s="48" customFormat="1">
      <c r="D106" s="71"/>
      <c r="F106" s="49"/>
      <c r="H106" s="71"/>
    </row>
  </sheetData>
  <customSheetViews>
    <customSheetView guid="{E00EC0C4-E70A-4D33-A9FE-7CF308F53A5C}" hiddenColumns="1" showRuler="0" topLeftCell="A52">
      <selection activeCell="B70" sqref="B70"/>
      <pageMargins left="0.75" right="0.75" top="1" bottom="1" header="0.5" footer="0.5"/>
      <headerFooter alignWithMargins="0"/>
    </customSheetView>
    <customSheetView guid="{5519EDA0-AC19-11DC-BDFC-0017F2D6B148}" hiddenColumns="1">
      <selection activeCell="J38" sqref="J38"/>
      <pageMargins left="0.75" right="0.75" top="1" bottom="1" header="0.5" footer="0.5"/>
      <headerFooter alignWithMargins="0"/>
    </customSheetView>
  </customSheetViews>
  <mergeCells count="10">
    <mergeCell ref="B2:J2"/>
    <mergeCell ref="B3:J3"/>
    <mergeCell ref="B4:J4"/>
    <mergeCell ref="B5:J5"/>
    <mergeCell ref="B64:J64"/>
    <mergeCell ref="B65:J65"/>
    <mergeCell ref="B61:J61"/>
    <mergeCell ref="B62:J62"/>
    <mergeCell ref="B63:J63"/>
    <mergeCell ref="B6:J6"/>
  </mergeCells>
  <phoneticPr fontId="5" type="noConversion"/>
  <hyperlinks>
    <hyperlink ref="B65:J65" location="SFMC" display="Conventional Tillage Summer Fallow Machinery Costs table."/>
  </hyperlinks>
  <printOptions horizontalCentered="1"/>
  <pageMargins left="0.75" right="0.75" top="1" bottom="1" header="0.5" footer="0.5"/>
  <pageSetup scale="86" orientation="portrait" verticalDpi="1200" r:id="rId1"/>
  <headerFooter alignWithMargins="0">
    <oddFooter>&amp;L&amp;A&amp;C&amp;F&amp;R&amp;D</oddFooter>
  </headerFooter>
  <ignoredErrors>
    <ignoredError sqref="J19:J56" emptyCellReference="1"/>
  </ignoredErrors>
</worksheet>
</file>

<file path=xl/worksheets/sheet7.xml><?xml version="1.0" encoding="utf-8"?>
<worksheet xmlns="http://schemas.openxmlformats.org/spreadsheetml/2006/main" xmlns:r="http://schemas.openxmlformats.org/officeDocument/2006/relationships">
  <dimension ref="A1:AA65"/>
  <sheetViews>
    <sheetView zoomScaleNormal="100" workbookViewId="0">
      <selection activeCell="E5" sqref="E5"/>
    </sheetView>
  </sheetViews>
  <sheetFormatPr defaultColWidth="8.7109375" defaultRowHeight="12.75"/>
  <cols>
    <col min="1" max="1" width="4.28515625" style="48" customWidth="1"/>
    <col min="2" max="2" width="11" customWidth="1"/>
    <col min="3" max="3" width="20.140625" customWidth="1"/>
    <col min="4" max="4" width="25.42578125" customWidth="1"/>
    <col min="5" max="5" width="45.7109375" customWidth="1"/>
    <col min="6" max="26" width="8.7109375" style="48" customWidth="1"/>
  </cols>
  <sheetData>
    <row r="1" spans="1:26">
      <c r="B1" s="48"/>
      <c r="C1" s="48"/>
      <c r="D1" s="48"/>
      <c r="E1" s="48"/>
    </row>
    <row r="2" spans="1:26" s="132" customFormat="1" ht="30" customHeight="1">
      <c r="A2" s="129"/>
      <c r="B2" s="308" t="s">
        <v>255</v>
      </c>
      <c r="C2" s="308"/>
      <c r="D2" s="308"/>
      <c r="E2" s="308"/>
      <c r="F2" s="129"/>
      <c r="G2" s="129"/>
      <c r="H2" s="129"/>
      <c r="I2" s="129"/>
      <c r="J2" s="129"/>
      <c r="K2" s="129"/>
      <c r="L2" s="129"/>
      <c r="M2" s="129"/>
      <c r="N2" s="129"/>
      <c r="O2" s="129"/>
      <c r="P2" s="129"/>
      <c r="Q2" s="129"/>
      <c r="R2" s="129"/>
      <c r="S2" s="129"/>
      <c r="T2" s="129"/>
      <c r="U2" s="129"/>
      <c r="V2" s="129"/>
      <c r="W2" s="129"/>
      <c r="X2" s="129"/>
      <c r="Y2" s="129"/>
      <c r="Z2" s="129"/>
    </row>
    <row r="3" spans="1:26" s="132" customFormat="1" ht="6" customHeight="1">
      <c r="A3" s="129"/>
      <c r="B3" s="318"/>
      <c r="C3" s="318"/>
      <c r="D3" s="318"/>
      <c r="E3" s="318"/>
      <c r="F3" s="129"/>
      <c r="G3" s="129"/>
      <c r="H3" s="129"/>
      <c r="I3" s="129"/>
      <c r="J3" s="129"/>
      <c r="K3" s="129"/>
      <c r="L3" s="129"/>
      <c r="M3" s="129"/>
      <c r="N3" s="129"/>
      <c r="O3" s="129"/>
      <c r="P3" s="129"/>
      <c r="Q3" s="129"/>
      <c r="R3" s="129"/>
      <c r="S3" s="129"/>
      <c r="T3" s="129"/>
      <c r="U3" s="129"/>
      <c r="V3" s="129"/>
      <c r="W3" s="129"/>
      <c r="X3" s="129"/>
      <c r="Y3" s="129"/>
      <c r="Z3" s="129"/>
    </row>
    <row r="4" spans="1:26" ht="30" customHeight="1">
      <c r="B4" s="317" t="s">
        <v>143</v>
      </c>
      <c r="C4" s="317" t="s">
        <v>145</v>
      </c>
      <c r="D4" s="317" t="s">
        <v>147</v>
      </c>
      <c r="E4" s="317" t="s">
        <v>148</v>
      </c>
    </row>
    <row r="5" spans="1:26" ht="25.5">
      <c r="B5" s="43" t="s">
        <v>146</v>
      </c>
      <c r="C5" s="43" t="s">
        <v>167</v>
      </c>
      <c r="D5" s="43" t="s">
        <v>3</v>
      </c>
      <c r="E5" s="54" t="s">
        <v>6</v>
      </c>
    </row>
    <row r="6" spans="1:26">
      <c r="B6" s="46"/>
      <c r="C6" s="46"/>
      <c r="D6" s="46" t="s">
        <v>170</v>
      </c>
      <c r="E6" s="46"/>
    </row>
    <row r="7" spans="1:26">
      <c r="B7" s="10" t="s">
        <v>168</v>
      </c>
      <c r="C7" s="10" t="s">
        <v>156</v>
      </c>
      <c r="D7" s="10" t="s">
        <v>45</v>
      </c>
      <c r="E7" s="10"/>
    </row>
    <row r="8" spans="1:26">
      <c r="B8" s="43"/>
      <c r="C8" s="43"/>
      <c r="D8" s="43" t="s">
        <v>170</v>
      </c>
      <c r="E8" s="43"/>
    </row>
    <row r="9" spans="1:26">
      <c r="B9" s="44" t="s">
        <v>168</v>
      </c>
      <c r="C9" s="44" t="s">
        <v>169</v>
      </c>
      <c r="D9" s="44" t="s">
        <v>312</v>
      </c>
      <c r="E9" s="44" t="s">
        <v>292</v>
      </c>
    </row>
    <row r="10" spans="1:26">
      <c r="B10" s="14"/>
      <c r="C10" s="46"/>
      <c r="D10" s="46" t="s">
        <v>8</v>
      </c>
      <c r="E10" s="46"/>
    </row>
    <row r="11" spans="1:26">
      <c r="B11" s="14" t="s">
        <v>171</v>
      </c>
      <c r="C11" s="14" t="s">
        <v>7</v>
      </c>
      <c r="D11" s="10" t="s">
        <v>43</v>
      </c>
      <c r="E11" s="14"/>
    </row>
    <row r="12" spans="1:26">
      <c r="B12" s="47"/>
      <c r="C12" s="47"/>
      <c r="D12" s="47" t="s">
        <v>8</v>
      </c>
      <c r="E12" s="47"/>
    </row>
    <row r="13" spans="1:26">
      <c r="B13" s="8" t="s">
        <v>9</v>
      </c>
      <c r="C13" s="8" t="s">
        <v>7</v>
      </c>
      <c r="D13" s="8" t="s">
        <v>43</v>
      </c>
      <c r="E13" s="8"/>
    </row>
    <row r="14" spans="1:26">
      <c r="B14" s="14"/>
      <c r="C14" s="14"/>
      <c r="D14" s="46" t="s">
        <v>8</v>
      </c>
      <c r="E14" s="14"/>
    </row>
    <row r="15" spans="1:26">
      <c r="B15" s="10" t="s">
        <v>10</v>
      </c>
      <c r="C15" s="10" t="s">
        <v>7</v>
      </c>
      <c r="D15" s="10" t="s">
        <v>43</v>
      </c>
      <c r="E15" s="10"/>
    </row>
    <row r="16" spans="1:26">
      <c r="B16" s="48"/>
      <c r="C16" s="48"/>
      <c r="D16" s="48"/>
      <c r="E16" s="48"/>
    </row>
    <row r="17" spans="2:27">
      <c r="B17" s="48" t="s">
        <v>131</v>
      </c>
      <c r="C17" s="48"/>
      <c r="D17" s="48"/>
      <c r="E17" s="48"/>
    </row>
    <row r="18" spans="2:27">
      <c r="B18" s="48" t="s">
        <v>226</v>
      </c>
      <c r="C18" s="48" t="s">
        <v>224</v>
      </c>
      <c r="D18" s="48"/>
      <c r="E18" s="48"/>
    </row>
    <row r="19" spans="2:27">
      <c r="B19" s="48" t="s">
        <v>227</v>
      </c>
      <c r="C19" s="48" t="s">
        <v>225</v>
      </c>
      <c r="D19" s="48"/>
      <c r="E19" s="48"/>
    </row>
    <row r="20" spans="2:27" ht="15" customHeight="1">
      <c r="B20" s="48"/>
      <c r="C20" s="48"/>
      <c r="D20" s="48"/>
      <c r="E20" s="48"/>
    </row>
    <row r="21" spans="2:27">
      <c r="B21" s="48"/>
      <c r="C21" s="48"/>
      <c r="D21" s="48"/>
      <c r="E21" s="48"/>
    </row>
    <row r="22" spans="2:27" s="48" customFormat="1">
      <c r="AA22"/>
    </row>
    <row r="23" spans="2:27" s="48" customFormat="1">
      <c r="AA23"/>
    </row>
    <row r="24" spans="2:27" s="48" customFormat="1">
      <c r="AA24"/>
    </row>
    <row r="25" spans="2:27" s="48" customFormat="1">
      <c r="AA25"/>
    </row>
    <row r="26" spans="2:27" s="48" customFormat="1">
      <c r="AA26"/>
    </row>
    <row r="27" spans="2:27" s="48" customFormat="1">
      <c r="AA27"/>
    </row>
    <row r="28" spans="2:27" s="48" customFormat="1">
      <c r="AA28"/>
    </row>
    <row r="29" spans="2:27" s="48" customFormat="1">
      <c r="AA29"/>
    </row>
    <row r="30" spans="2:27" s="48" customFormat="1">
      <c r="AA30"/>
    </row>
    <row r="31" spans="2:27" s="48" customFormat="1">
      <c r="AA31"/>
    </row>
    <row r="32" spans="2:27" s="48" customFormat="1"/>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sheetData>
  <customSheetViews>
    <customSheetView guid="{E00EC0C4-E70A-4D33-A9FE-7CF308F53A5C}" showRuler="0">
      <selection activeCell="A14" sqref="A1:IV14"/>
      <pageMargins left="0.75" right="0.75" top="1" bottom="1" header="0.5" footer="0.5"/>
      <pageSetup orientation="portrait" verticalDpi="0"/>
      <headerFooter alignWithMargins="0"/>
    </customSheetView>
    <customSheetView guid="{5519EDA0-AC19-11DC-BDFC-0017F2D6B148}">
      <selection activeCell="F26" sqref="F26"/>
      <pageMargins left="0.75" right="0.75" top="1" bottom="1" header="0.5" footer="0.5"/>
      <headerFooter alignWithMargins="0"/>
    </customSheetView>
  </customSheetViews>
  <phoneticPr fontId="5" type="noConversion"/>
  <printOptions horizontalCentered="1"/>
  <pageMargins left="0.75" right="0.75" top="1" bottom="1" header="0.5" footer="0.5"/>
  <pageSetup scale="81" orientation="portrait" verticalDpi="1200"/>
  <headerFooter alignWithMargins="0">
    <oddFooter>&amp;L&amp;A&amp;C&amp;F&amp;R&amp;D</oddFooter>
  </headerFooter>
</worksheet>
</file>

<file path=xl/worksheets/sheet8.xml><?xml version="1.0" encoding="utf-8"?>
<worksheet xmlns="http://schemas.openxmlformats.org/spreadsheetml/2006/main" xmlns:r="http://schemas.openxmlformats.org/officeDocument/2006/relationships">
  <dimension ref="A1:AG153"/>
  <sheetViews>
    <sheetView topLeftCell="A7" zoomScaleNormal="125" workbookViewId="0">
      <selection activeCell="G28" sqref="G28"/>
    </sheetView>
  </sheetViews>
  <sheetFormatPr defaultColWidth="8.7109375" defaultRowHeight="12.75"/>
  <cols>
    <col min="1" max="1" width="3.7109375" style="57" customWidth="1"/>
    <col min="2" max="2" width="26.42578125" style="58" customWidth="1"/>
    <col min="3" max="3" width="2" style="58" customWidth="1"/>
    <col min="4" max="4" width="11.7109375" style="218" customWidth="1"/>
    <col min="5" max="5" width="1.140625" style="58" customWidth="1"/>
    <col min="6" max="6" width="8.85546875" style="219" customWidth="1"/>
    <col min="7" max="7" width="1.42578125" style="58" customWidth="1"/>
    <col min="8" max="8" width="8.28515625" style="218" customWidth="1"/>
    <col min="9" max="9" width="1.7109375" style="58" customWidth="1"/>
    <col min="10" max="10" width="14.85546875" style="220" customWidth="1"/>
    <col min="11" max="11" width="3.28515625" style="58" hidden="1" customWidth="1"/>
    <col min="12" max="33" width="8.7109375" style="57" customWidth="1"/>
    <col min="34" max="16384" width="8.7109375" style="58"/>
  </cols>
  <sheetData>
    <row r="1" spans="1:33" s="48" customFormat="1">
      <c r="D1" s="71"/>
      <c r="F1" s="49"/>
      <c r="H1" s="71"/>
    </row>
    <row r="2" spans="1:33" s="48" customFormat="1" ht="18" customHeight="1">
      <c r="B2" s="485" t="s">
        <v>133</v>
      </c>
      <c r="C2" s="486"/>
      <c r="D2" s="486"/>
      <c r="E2" s="486"/>
      <c r="F2" s="486"/>
      <c r="G2" s="486"/>
      <c r="H2" s="486"/>
      <c r="I2" s="486"/>
      <c r="J2" s="487"/>
    </row>
    <row r="3" spans="1:33" s="48" customFormat="1">
      <c r="B3" s="488" t="s">
        <v>69</v>
      </c>
      <c r="C3" s="489"/>
      <c r="D3" s="489"/>
      <c r="E3" s="489"/>
      <c r="F3" s="489"/>
      <c r="G3" s="489"/>
      <c r="H3" s="489"/>
      <c r="I3" s="489"/>
      <c r="J3" s="490"/>
    </row>
    <row r="4" spans="1:33" s="48" customFormat="1">
      <c r="B4" s="491" t="s">
        <v>113</v>
      </c>
      <c r="C4" s="492"/>
      <c r="D4" s="492"/>
      <c r="E4" s="492"/>
      <c r="F4" s="492"/>
      <c r="G4" s="492"/>
      <c r="H4" s="492"/>
      <c r="I4" s="492"/>
      <c r="J4" s="493"/>
    </row>
    <row r="5" spans="1:33" s="48" customFormat="1">
      <c r="B5" s="494" t="s">
        <v>70</v>
      </c>
      <c r="C5" s="495"/>
      <c r="D5" s="495"/>
      <c r="E5" s="495"/>
      <c r="F5" s="495"/>
      <c r="G5" s="495"/>
      <c r="H5" s="495"/>
      <c r="I5" s="495"/>
      <c r="J5" s="496"/>
    </row>
    <row r="6" spans="1:33" s="48" customFormat="1">
      <c r="B6" s="482" t="s">
        <v>71</v>
      </c>
      <c r="C6" s="483"/>
      <c r="D6" s="483"/>
      <c r="E6" s="483"/>
      <c r="F6" s="483"/>
      <c r="G6" s="483"/>
      <c r="H6" s="483"/>
      <c r="I6" s="483"/>
      <c r="J6" s="484"/>
    </row>
    <row r="7" spans="1:33" s="69" customFormat="1">
      <c r="D7" s="81"/>
      <c r="F7" s="70"/>
      <c r="H7" s="81"/>
    </row>
    <row r="8" spans="1:33" ht="31.5" customHeight="1">
      <c r="A8" s="128"/>
      <c r="B8" s="498" t="s">
        <v>4</v>
      </c>
      <c r="C8" s="499"/>
      <c r="D8" s="499"/>
      <c r="E8" s="499"/>
      <c r="F8" s="499"/>
      <c r="G8" s="499"/>
      <c r="H8" s="499"/>
      <c r="I8" s="499"/>
      <c r="J8" s="499"/>
      <c r="K8" s="499"/>
    </row>
    <row r="9" spans="1:33" s="153" customFormat="1" ht="3.75" customHeight="1">
      <c r="A9" s="57"/>
      <c r="B9" s="319"/>
      <c r="C9" s="319"/>
      <c r="D9" s="320"/>
      <c r="E9" s="319"/>
      <c r="F9" s="321"/>
      <c r="G9" s="319"/>
      <c r="H9" s="320"/>
      <c r="I9" s="319"/>
      <c r="J9" s="319"/>
      <c r="K9" s="319"/>
      <c r="L9" s="57"/>
      <c r="M9" s="57"/>
      <c r="N9" s="57"/>
      <c r="O9" s="57"/>
      <c r="P9" s="57"/>
      <c r="Q9" s="57"/>
      <c r="R9" s="57"/>
      <c r="S9" s="57"/>
      <c r="T9" s="57"/>
      <c r="U9" s="57"/>
      <c r="V9" s="57"/>
      <c r="W9" s="57"/>
      <c r="X9" s="57"/>
      <c r="Y9" s="57"/>
      <c r="Z9" s="57"/>
      <c r="AA9" s="57"/>
      <c r="AB9" s="57"/>
      <c r="AC9" s="57"/>
      <c r="AD9" s="57"/>
      <c r="AE9" s="57"/>
      <c r="AF9" s="57"/>
      <c r="AG9" s="57"/>
    </row>
    <row r="10" spans="1:33">
      <c r="B10" s="154"/>
      <c r="C10" s="154"/>
      <c r="D10" s="155" t="s">
        <v>105</v>
      </c>
      <c r="E10" s="155"/>
      <c r="F10" s="156"/>
      <c r="G10" s="155"/>
      <c r="H10" s="155" t="s">
        <v>106</v>
      </c>
      <c r="I10" s="155"/>
      <c r="J10" s="157" t="s">
        <v>107</v>
      </c>
    </row>
    <row r="11" spans="1:33">
      <c r="B11" s="158" t="s">
        <v>108</v>
      </c>
      <c r="C11" s="154"/>
      <c r="D11" s="155" t="s">
        <v>109</v>
      </c>
      <c r="E11" s="155"/>
      <c r="F11" s="156" t="s">
        <v>110</v>
      </c>
      <c r="G11" s="155"/>
      <c r="H11" s="155" t="s">
        <v>111</v>
      </c>
      <c r="I11" s="155"/>
      <c r="J11" s="157" t="s">
        <v>172</v>
      </c>
    </row>
    <row r="12" spans="1:33" ht="5.25" customHeight="1">
      <c r="B12" s="159"/>
      <c r="C12" s="160"/>
      <c r="D12" s="159"/>
      <c r="E12" s="160"/>
      <c r="F12" s="161"/>
      <c r="G12" s="160"/>
      <c r="H12" s="159"/>
      <c r="I12" s="160"/>
      <c r="J12" s="162"/>
      <c r="K12" s="163"/>
    </row>
    <row r="13" spans="1:33" s="169" customFormat="1">
      <c r="A13" s="57"/>
      <c r="B13" s="164" t="s">
        <v>114</v>
      </c>
      <c r="C13" s="165"/>
      <c r="D13" s="166"/>
      <c r="E13" s="165"/>
      <c r="F13" s="167"/>
      <c r="G13" s="165"/>
      <c r="H13" s="166"/>
      <c r="I13" s="165"/>
      <c r="J13" s="168"/>
      <c r="L13" s="128"/>
      <c r="M13" s="128"/>
      <c r="N13" s="128"/>
      <c r="O13" s="128"/>
      <c r="P13" s="128"/>
      <c r="Q13" s="128"/>
      <c r="R13" s="128"/>
      <c r="S13" s="128"/>
      <c r="T13" s="128"/>
      <c r="U13" s="128"/>
      <c r="V13" s="128"/>
      <c r="W13" s="128"/>
      <c r="X13" s="128"/>
      <c r="Y13" s="128"/>
      <c r="Z13" s="128"/>
      <c r="AA13" s="128"/>
      <c r="AB13" s="128"/>
      <c r="AC13" s="128"/>
      <c r="AD13" s="128"/>
      <c r="AE13" s="128"/>
      <c r="AF13" s="128"/>
      <c r="AG13" s="128"/>
    </row>
    <row r="14" spans="1:33" s="169" customFormat="1">
      <c r="A14" s="128"/>
      <c r="B14" s="170" t="s">
        <v>162</v>
      </c>
      <c r="C14" s="171"/>
      <c r="D14" s="324">
        <f>Summary!$E$13</f>
        <v>55</v>
      </c>
      <c r="E14" s="171"/>
      <c r="F14" s="172" t="s">
        <v>163</v>
      </c>
      <c r="G14" s="171"/>
      <c r="H14" s="325">
        <f>Summary!$G$13</f>
        <v>5.08</v>
      </c>
      <c r="I14" s="171"/>
      <c r="J14" s="173">
        <f>D14*H14</f>
        <v>279.39999999999998</v>
      </c>
      <c r="K14" s="174"/>
      <c r="L14" s="128"/>
      <c r="M14" s="497"/>
      <c r="N14" s="497"/>
      <c r="O14" s="497"/>
      <c r="P14" s="497"/>
      <c r="Q14" s="497"/>
      <c r="R14" s="128"/>
      <c r="S14" s="128"/>
      <c r="T14" s="128"/>
      <c r="U14" s="128"/>
      <c r="V14" s="128"/>
      <c r="W14" s="128"/>
      <c r="X14" s="128"/>
      <c r="Y14" s="128"/>
      <c r="Z14" s="128"/>
      <c r="AA14" s="128"/>
      <c r="AB14" s="128"/>
      <c r="AC14" s="128"/>
      <c r="AD14" s="128"/>
      <c r="AE14" s="128"/>
      <c r="AF14" s="128"/>
      <c r="AG14" s="128"/>
    </row>
    <row r="15" spans="1:33" s="169" customFormat="1">
      <c r="A15" s="128"/>
      <c r="B15" s="171"/>
      <c r="C15" s="171"/>
      <c r="D15" s="175"/>
      <c r="E15" s="171"/>
      <c r="F15" s="176"/>
      <c r="G15" s="171"/>
      <c r="H15" s="177"/>
      <c r="I15" s="171"/>
      <c r="J15" s="173"/>
      <c r="K15" s="174"/>
      <c r="L15" s="128"/>
      <c r="M15" s="500"/>
      <c r="N15" s="500"/>
      <c r="O15" s="500"/>
      <c r="P15" s="500"/>
      <c r="Q15" s="500"/>
      <c r="R15" s="500"/>
      <c r="S15" s="128"/>
      <c r="T15" s="128"/>
      <c r="U15" s="128"/>
      <c r="V15" s="128"/>
      <c r="W15" s="128"/>
      <c r="X15" s="128"/>
      <c r="Y15" s="128"/>
      <c r="Z15" s="128"/>
      <c r="AA15" s="128"/>
      <c r="AB15" s="128"/>
      <c r="AC15" s="128"/>
      <c r="AD15" s="128"/>
      <c r="AE15" s="128"/>
      <c r="AF15" s="128"/>
      <c r="AG15" s="128"/>
    </row>
    <row r="16" spans="1:33">
      <c r="A16" s="128"/>
      <c r="B16" s="11" t="s">
        <v>98</v>
      </c>
      <c r="C16" s="154"/>
      <c r="D16" s="155"/>
      <c r="E16" s="154"/>
      <c r="F16" s="156"/>
      <c r="G16" s="154"/>
      <c r="H16" s="178"/>
      <c r="I16" s="154"/>
      <c r="J16" s="179"/>
    </row>
    <row r="17" spans="2:13" ht="5.0999999999999996" customHeight="1">
      <c r="B17" s="154"/>
      <c r="C17" s="154"/>
      <c r="D17" s="155"/>
      <c r="E17" s="154"/>
      <c r="F17" s="156"/>
      <c r="G17" s="154"/>
      <c r="H17" s="178"/>
      <c r="I17" s="154"/>
      <c r="J17" s="179"/>
    </row>
    <row r="18" spans="2:13">
      <c r="B18" s="154" t="s">
        <v>115</v>
      </c>
      <c r="C18" s="154"/>
      <c r="D18" s="155"/>
      <c r="E18" s="154"/>
      <c r="F18" s="156"/>
      <c r="G18" s="154"/>
      <c r="H18" s="178"/>
      <c r="I18" s="154"/>
      <c r="J18" s="180">
        <f>SUM(J19:J19)</f>
        <v>10.5</v>
      </c>
    </row>
    <row r="19" spans="2:13">
      <c r="B19" s="60" t="s">
        <v>164</v>
      </c>
      <c r="C19" s="154"/>
      <c r="D19" s="326">
        <v>70</v>
      </c>
      <c r="E19" s="154"/>
      <c r="F19" s="182" t="s">
        <v>198</v>
      </c>
      <c r="G19" s="154"/>
      <c r="H19" s="348">
        <f>WheatSeed</f>
        <v>0.15</v>
      </c>
      <c r="I19" s="349"/>
      <c r="J19" s="179">
        <f>D19*H19</f>
        <v>10.5</v>
      </c>
    </row>
    <row r="20" spans="2:13" ht="5.0999999999999996" customHeight="1">
      <c r="B20" s="154"/>
      <c r="C20" s="154"/>
      <c r="D20" s="155"/>
      <c r="E20" s="154"/>
      <c r="F20" s="156"/>
      <c r="G20" s="154"/>
      <c r="H20" s="350"/>
      <c r="I20" s="349"/>
      <c r="J20" s="179"/>
    </row>
    <row r="21" spans="2:13" ht="14.25">
      <c r="B21" s="154" t="s">
        <v>305</v>
      </c>
      <c r="C21" s="154"/>
      <c r="D21" s="155"/>
      <c r="E21" s="154"/>
      <c r="F21" s="156"/>
      <c r="G21" s="154"/>
      <c r="H21" s="350"/>
      <c r="I21" s="349"/>
      <c r="J21" s="180">
        <f>SUM(J22:J23)</f>
        <v>0</v>
      </c>
      <c r="M21" s="183"/>
    </row>
    <row r="22" spans="2:13">
      <c r="B22" s="60"/>
      <c r="C22" s="154"/>
      <c r="D22" s="327"/>
      <c r="E22" s="154"/>
      <c r="F22" s="182"/>
      <c r="G22" s="154"/>
      <c r="H22" s="351"/>
      <c r="I22" s="349"/>
      <c r="J22" s="179">
        <f>D22*H22</f>
        <v>0</v>
      </c>
    </row>
    <row r="23" spans="2:13">
      <c r="B23" s="60"/>
      <c r="C23" s="154"/>
      <c r="D23" s="327"/>
      <c r="E23" s="154"/>
      <c r="F23" s="182"/>
      <c r="G23" s="154"/>
      <c r="H23" s="351"/>
      <c r="I23" s="349"/>
      <c r="J23" s="179">
        <f>D23*H23</f>
        <v>0</v>
      </c>
    </row>
    <row r="24" spans="2:13" ht="5.0999999999999996" customHeight="1">
      <c r="B24" s="154"/>
      <c r="C24" s="154"/>
      <c r="D24" s="155"/>
      <c r="E24" s="154"/>
      <c r="F24" s="156"/>
      <c r="G24" s="154"/>
      <c r="H24" s="350"/>
      <c r="I24" s="349"/>
      <c r="J24" s="179"/>
    </row>
    <row r="25" spans="2:13">
      <c r="B25" s="154" t="s">
        <v>117</v>
      </c>
      <c r="C25" s="154"/>
      <c r="D25" s="155"/>
      <c r="E25" s="154"/>
      <c r="F25" s="156"/>
      <c r="G25" s="154"/>
      <c r="H25" s="350"/>
      <c r="I25" s="349"/>
      <c r="J25" s="180">
        <f>SUM(J26:J28)</f>
        <v>7.5400000000000009</v>
      </c>
    </row>
    <row r="26" spans="2:13">
      <c r="B26" s="60" t="s">
        <v>88</v>
      </c>
      <c r="C26" s="154"/>
      <c r="D26" s="326">
        <v>10</v>
      </c>
      <c r="E26" s="154"/>
      <c r="F26" s="182" t="s">
        <v>200</v>
      </c>
      <c r="G26" s="154"/>
      <c r="H26" s="348">
        <f>+DPesticide</f>
        <v>0.16</v>
      </c>
      <c r="I26" s="349"/>
      <c r="J26" s="179">
        <f>D26*H26</f>
        <v>1.6</v>
      </c>
    </row>
    <row r="27" spans="2:13">
      <c r="B27" s="60" t="s">
        <v>89</v>
      </c>
      <c r="C27" s="154"/>
      <c r="D27" s="326">
        <v>0.33</v>
      </c>
      <c r="E27" s="154"/>
      <c r="F27" s="182" t="s">
        <v>200</v>
      </c>
      <c r="G27" s="154"/>
      <c r="H27" s="352">
        <f>+Maverick</f>
        <v>18</v>
      </c>
      <c r="I27" s="349"/>
      <c r="J27" s="179">
        <f>D27*H27</f>
        <v>5.94</v>
      </c>
    </row>
    <row r="28" spans="2:13">
      <c r="B28" s="60"/>
      <c r="C28" s="154"/>
      <c r="D28" s="327"/>
      <c r="E28" s="154"/>
      <c r="F28" s="182"/>
      <c r="G28" s="154"/>
      <c r="H28" s="351"/>
      <c r="I28" s="349"/>
      <c r="J28" s="179">
        <f>D28*H28</f>
        <v>0</v>
      </c>
    </row>
    <row r="29" spans="2:13" ht="5.25" customHeight="1">
      <c r="B29" s="154"/>
      <c r="C29" s="154"/>
      <c r="D29" s="185"/>
      <c r="E29" s="154"/>
      <c r="F29" s="156"/>
      <c r="G29" s="154"/>
      <c r="H29" s="350"/>
      <c r="I29" s="349"/>
      <c r="J29" s="179"/>
    </row>
    <row r="30" spans="2:13">
      <c r="B30" s="154" t="s">
        <v>65</v>
      </c>
      <c r="C30" s="154"/>
      <c r="D30" s="155"/>
      <c r="E30" s="154"/>
      <c r="F30" s="156"/>
      <c r="G30" s="154"/>
      <c r="H30" s="350"/>
      <c r="I30" s="349"/>
      <c r="J30" s="180">
        <f>SUM(J31:J35)</f>
        <v>20.1021</v>
      </c>
    </row>
    <row r="31" spans="2:13">
      <c r="B31" s="220" t="s">
        <v>140</v>
      </c>
      <c r="C31" s="154"/>
      <c r="D31" s="363">
        <f>'Machinery Cost'!$K$70</f>
        <v>2.1076000000000001</v>
      </c>
      <c r="E31" s="154"/>
      <c r="F31" s="182" t="s">
        <v>142</v>
      </c>
      <c r="G31" s="154"/>
      <c r="H31" s="329">
        <f>+Diesel</f>
        <v>2.25</v>
      </c>
      <c r="I31" s="349"/>
      <c r="J31" s="179">
        <f>D31*H31</f>
        <v>4.7421000000000006</v>
      </c>
    </row>
    <row r="32" spans="2:13">
      <c r="B32" s="220" t="s">
        <v>141</v>
      </c>
      <c r="C32" s="154"/>
      <c r="D32" s="322">
        <v>1</v>
      </c>
      <c r="E32" s="154"/>
      <c r="F32" s="182" t="s">
        <v>199</v>
      </c>
      <c r="G32" s="154"/>
      <c r="H32" s="328">
        <f>'Machinery Cost'!$L$70</f>
        <v>0.79600000000000004</v>
      </c>
      <c r="I32" s="349"/>
      <c r="J32" s="179">
        <f>D32*H32</f>
        <v>0.79600000000000004</v>
      </c>
    </row>
    <row r="33" spans="2:10">
      <c r="B33" s="220" t="s">
        <v>182</v>
      </c>
      <c r="C33" s="154"/>
      <c r="D33" s="322">
        <v>1</v>
      </c>
      <c r="E33" s="154"/>
      <c r="F33" s="182" t="s">
        <v>199</v>
      </c>
      <c r="G33" s="154"/>
      <c r="H33" s="328">
        <f>'Machinery Cost'!$G$70</f>
        <v>6.1800000000000006</v>
      </c>
      <c r="I33" s="349"/>
      <c r="J33" s="179">
        <f>D33*H33</f>
        <v>6.1800000000000006</v>
      </c>
    </row>
    <row r="34" spans="2:10">
      <c r="B34" s="220" t="s">
        <v>184</v>
      </c>
      <c r="C34" s="154"/>
      <c r="D34" s="363">
        <f>'Machinery Cost'!$I$70</f>
        <v>0.41920000000000002</v>
      </c>
      <c r="E34" s="154"/>
      <c r="F34" s="182" t="s">
        <v>199</v>
      </c>
      <c r="G34" s="154"/>
      <c r="H34" s="329">
        <f>+HourlyMachineLabor</f>
        <v>20</v>
      </c>
      <c r="I34" s="349"/>
      <c r="J34" s="179">
        <f>D34*H34</f>
        <v>8.3840000000000003</v>
      </c>
    </row>
    <row r="35" spans="2:10">
      <c r="B35" s="60"/>
      <c r="C35" s="154"/>
      <c r="D35" s="181"/>
      <c r="E35" s="154"/>
      <c r="F35" s="182"/>
      <c r="G35" s="154"/>
      <c r="H35" s="323"/>
      <c r="I35" s="349"/>
      <c r="J35" s="179">
        <f>D35*H35</f>
        <v>0</v>
      </c>
    </row>
    <row r="36" spans="2:10" ht="5.25" customHeight="1">
      <c r="B36" s="154"/>
      <c r="C36" s="154"/>
      <c r="D36" s="185"/>
      <c r="E36" s="154"/>
      <c r="F36" s="156"/>
      <c r="G36" s="154"/>
      <c r="H36" s="350"/>
      <c r="I36" s="349"/>
      <c r="J36" s="179"/>
    </row>
    <row r="37" spans="2:10">
      <c r="B37" s="154" t="s">
        <v>118</v>
      </c>
      <c r="C37" s="154"/>
      <c r="D37" s="155"/>
      <c r="E37" s="154"/>
      <c r="F37" s="156"/>
      <c r="G37" s="154"/>
      <c r="H37" s="350"/>
      <c r="I37" s="349"/>
      <c r="J37" s="180">
        <f>SUM(J38:J39)</f>
        <v>1.75</v>
      </c>
    </row>
    <row r="38" spans="2:10">
      <c r="B38" s="60" t="s">
        <v>76</v>
      </c>
      <c r="C38" s="154"/>
      <c r="D38" s="330">
        <v>1</v>
      </c>
      <c r="E38" s="154"/>
      <c r="F38" s="182" t="s">
        <v>199</v>
      </c>
      <c r="G38" s="154"/>
      <c r="H38" s="329">
        <f>+RentalSprayer</f>
        <v>1.75</v>
      </c>
      <c r="I38" s="349"/>
      <c r="J38" s="179">
        <f>D38*H38</f>
        <v>1.75</v>
      </c>
    </row>
    <row r="39" spans="2:10">
      <c r="B39" s="60"/>
      <c r="C39" s="154"/>
      <c r="D39" s="330"/>
      <c r="E39" s="154"/>
      <c r="F39" s="182"/>
      <c r="G39" s="154"/>
      <c r="H39" s="329"/>
      <c r="I39" s="349"/>
      <c r="J39" s="179">
        <f>D39*H39</f>
        <v>0</v>
      </c>
    </row>
    <row r="40" spans="2:10" ht="5.25" customHeight="1">
      <c r="B40" s="154"/>
      <c r="C40" s="154"/>
      <c r="D40" s="155"/>
      <c r="E40" s="154"/>
      <c r="F40" s="156"/>
      <c r="G40" s="154"/>
      <c r="H40" s="350"/>
      <c r="I40" s="349"/>
      <c r="J40" s="179"/>
    </row>
    <row r="41" spans="2:10">
      <c r="B41" s="154" t="s">
        <v>119</v>
      </c>
      <c r="C41" s="154"/>
      <c r="D41" s="155"/>
      <c r="E41" s="154"/>
      <c r="F41" s="156"/>
      <c r="G41" s="154"/>
      <c r="H41" s="350"/>
      <c r="I41" s="349"/>
      <c r="J41" s="180">
        <f>SUM(J42:J44)</f>
        <v>4.5</v>
      </c>
    </row>
    <row r="42" spans="2:10">
      <c r="B42" s="60" t="s">
        <v>201</v>
      </c>
      <c r="C42" s="154"/>
      <c r="D42" s="181">
        <v>1</v>
      </c>
      <c r="E42" s="154"/>
      <c r="F42" s="182" t="s">
        <v>199</v>
      </c>
      <c r="G42" s="154"/>
      <c r="H42" s="331">
        <v>4.5</v>
      </c>
      <c r="I42" s="349"/>
      <c r="J42" s="179">
        <f>D42*H42</f>
        <v>4.5</v>
      </c>
    </row>
    <row r="43" spans="2:10">
      <c r="B43" s="220" t="s">
        <v>183</v>
      </c>
      <c r="C43" s="154"/>
      <c r="D43" s="181"/>
      <c r="E43" s="154"/>
      <c r="F43" s="182"/>
      <c r="G43" s="154"/>
      <c r="H43" s="323"/>
      <c r="I43" s="349"/>
      <c r="J43" s="179">
        <f>D43*H43</f>
        <v>0</v>
      </c>
    </row>
    <row r="44" spans="2:10">
      <c r="B44" s="220" t="s">
        <v>185</v>
      </c>
      <c r="C44" s="154"/>
      <c r="D44" s="181"/>
      <c r="E44" s="154"/>
      <c r="F44" s="182"/>
      <c r="G44" s="154"/>
      <c r="H44" s="323"/>
      <c r="I44" s="349"/>
      <c r="J44" s="179">
        <f>D44*H44</f>
        <v>0</v>
      </c>
    </row>
    <row r="45" spans="2:10" ht="5.0999999999999996" customHeight="1">
      <c r="B45" s="154"/>
      <c r="C45" s="154"/>
      <c r="D45" s="155"/>
      <c r="E45" s="154"/>
      <c r="F45" s="156"/>
      <c r="G45" s="154"/>
      <c r="H45" s="353"/>
      <c r="I45" s="349"/>
      <c r="J45" s="179"/>
    </row>
    <row r="46" spans="2:10" ht="14.25">
      <c r="B46" s="154" t="s">
        <v>307</v>
      </c>
      <c r="C46" s="154"/>
      <c r="D46" s="155"/>
      <c r="E46" s="154"/>
      <c r="F46" s="156"/>
      <c r="G46" s="154"/>
      <c r="H46" s="353"/>
      <c r="I46" s="349"/>
      <c r="J46" s="179">
        <f>(J18+J21+J25+J30+J37+J41)*0.05</f>
        <v>2.2196050000000001</v>
      </c>
    </row>
    <row r="47" spans="2:10" ht="14.25">
      <c r="B47" s="154" t="s">
        <v>308</v>
      </c>
      <c r="C47" s="154"/>
      <c r="D47" s="155"/>
      <c r="E47" s="154"/>
      <c r="F47" s="156"/>
      <c r="G47" s="154"/>
      <c r="H47" s="353"/>
      <c r="I47" s="349"/>
      <c r="J47" s="179">
        <f>+(J18+J21+J25+J30+J37+J41)*0.09*0.75</f>
        <v>2.9964667499999997</v>
      </c>
    </row>
    <row r="48" spans="2:10" ht="5.25" customHeight="1">
      <c r="B48" s="154"/>
      <c r="C48" s="154"/>
      <c r="D48" s="155"/>
      <c r="E48" s="154"/>
      <c r="F48" s="156"/>
      <c r="G48" s="154"/>
      <c r="H48" s="353"/>
      <c r="I48" s="349"/>
      <c r="J48" s="179"/>
    </row>
    <row r="49" spans="1:33" s="191" customFormat="1">
      <c r="A49" s="186"/>
      <c r="B49" s="187" t="s">
        <v>99</v>
      </c>
      <c r="C49" s="187"/>
      <c r="D49" s="188"/>
      <c r="E49" s="187"/>
      <c r="F49" s="189"/>
      <c r="G49" s="187"/>
      <c r="H49" s="354"/>
      <c r="I49" s="355"/>
      <c r="J49" s="356">
        <f>SUM(J18:J47)-(J18+J21+J25+J30+J37+J41)</f>
        <v>49.608171749999997</v>
      </c>
      <c r="L49" s="186"/>
      <c r="M49" s="192"/>
      <c r="N49" s="186"/>
      <c r="O49" s="186"/>
      <c r="P49" s="186"/>
      <c r="Q49" s="186"/>
      <c r="R49" s="186"/>
      <c r="S49" s="186"/>
      <c r="T49" s="186"/>
      <c r="U49" s="186"/>
      <c r="V49" s="186"/>
      <c r="W49" s="186"/>
      <c r="X49" s="186"/>
      <c r="Y49" s="186"/>
      <c r="Z49" s="186"/>
      <c r="AA49" s="186"/>
      <c r="AB49" s="186"/>
      <c r="AC49" s="186"/>
      <c r="AD49" s="186"/>
      <c r="AE49" s="186"/>
      <c r="AF49" s="186"/>
      <c r="AG49" s="186"/>
    </row>
    <row r="50" spans="1:33" s="169" customFormat="1">
      <c r="A50" s="128"/>
      <c r="B50" s="165" t="s">
        <v>103</v>
      </c>
      <c r="C50" s="165"/>
      <c r="D50" s="166"/>
      <c r="E50" s="165"/>
      <c r="F50" s="167"/>
      <c r="G50" s="165"/>
      <c r="H50" s="357"/>
      <c r="I50" s="358"/>
      <c r="J50" s="359">
        <f>J49/D14</f>
        <v>0.90196675909090906</v>
      </c>
      <c r="L50" s="128"/>
      <c r="M50" s="128"/>
      <c r="N50" s="128"/>
      <c r="O50" s="128"/>
      <c r="P50" s="128"/>
      <c r="Q50" s="128"/>
      <c r="R50" s="128"/>
      <c r="S50" s="128"/>
      <c r="T50" s="128"/>
      <c r="U50" s="128"/>
      <c r="V50" s="128"/>
      <c r="W50" s="128"/>
      <c r="X50" s="128"/>
      <c r="Y50" s="128"/>
      <c r="Z50" s="128"/>
      <c r="AA50" s="128"/>
      <c r="AB50" s="128"/>
      <c r="AC50" s="128"/>
      <c r="AD50" s="128"/>
      <c r="AE50" s="128"/>
      <c r="AF50" s="128"/>
      <c r="AG50" s="128"/>
    </row>
    <row r="51" spans="1:33" s="169" customFormat="1" ht="5.25" customHeight="1">
      <c r="A51" s="128"/>
      <c r="B51" s="165"/>
      <c r="C51" s="165"/>
      <c r="D51" s="166"/>
      <c r="E51" s="165"/>
      <c r="F51" s="167"/>
      <c r="G51" s="165"/>
      <c r="H51" s="357"/>
      <c r="I51" s="358"/>
      <c r="J51" s="359"/>
      <c r="L51" s="128"/>
      <c r="M51" s="128"/>
      <c r="N51" s="128"/>
      <c r="O51" s="128"/>
      <c r="P51" s="128"/>
      <c r="Q51" s="128"/>
      <c r="R51" s="128"/>
      <c r="S51" s="128"/>
      <c r="T51" s="128"/>
      <c r="U51" s="128"/>
      <c r="V51" s="128"/>
      <c r="W51" s="128"/>
      <c r="X51" s="128"/>
      <c r="Y51" s="128"/>
      <c r="Z51" s="128"/>
      <c r="AA51" s="128"/>
      <c r="AB51" s="128"/>
      <c r="AC51" s="128"/>
      <c r="AD51" s="128"/>
      <c r="AE51" s="128"/>
      <c r="AF51" s="128"/>
      <c r="AG51" s="128"/>
    </row>
    <row r="52" spans="1:33" s="56" customFormat="1">
      <c r="A52" s="55"/>
      <c r="B52" s="61" t="s">
        <v>104</v>
      </c>
      <c r="C52" s="61"/>
      <c r="D52" s="74"/>
      <c r="E52" s="61"/>
      <c r="F52" s="62"/>
      <c r="G52" s="61"/>
      <c r="H52" s="360"/>
      <c r="I52" s="361"/>
      <c r="J52" s="362">
        <f>J14-J49</f>
        <v>229.79182824999998</v>
      </c>
      <c r="L52" s="68"/>
      <c r="M52" s="55"/>
      <c r="N52" s="55"/>
      <c r="O52" s="55"/>
      <c r="P52" s="55"/>
      <c r="Q52" s="55"/>
      <c r="R52" s="55"/>
      <c r="S52" s="55"/>
      <c r="T52" s="55"/>
      <c r="U52" s="55"/>
      <c r="V52" s="55"/>
      <c r="W52" s="55"/>
      <c r="X52" s="55"/>
      <c r="Y52" s="55"/>
      <c r="Z52" s="55"/>
      <c r="AA52" s="55"/>
      <c r="AB52" s="55"/>
      <c r="AC52" s="55"/>
      <c r="AD52" s="55"/>
      <c r="AE52" s="55"/>
      <c r="AF52" s="55"/>
      <c r="AG52" s="55"/>
    </row>
    <row r="53" spans="1:33" ht="5.25" customHeight="1">
      <c r="B53" s="154"/>
      <c r="C53" s="154"/>
      <c r="D53" s="155"/>
      <c r="E53" s="154"/>
      <c r="F53" s="156"/>
      <c r="G53" s="154"/>
      <c r="H53" s="155"/>
      <c r="I53" s="154"/>
      <c r="J53" s="184"/>
    </row>
    <row r="54" spans="1:33" s="169" customFormat="1">
      <c r="A54" s="57"/>
      <c r="B54" s="164" t="s">
        <v>100</v>
      </c>
      <c r="C54" s="165"/>
      <c r="D54" s="166"/>
      <c r="E54" s="165"/>
      <c r="F54" s="167"/>
      <c r="G54" s="165"/>
      <c r="H54" s="166"/>
      <c r="I54" s="165"/>
      <c r="J54" s="239"/>
      <c r="L54" s="128"/>
      <c r="M54" s="128"/>
      <c r="N54" s="128"/>
      <c r="O54" s="128"/>
      <c r="P54" s="128"/>
      <c r="Q54" s="128"/>
      <c r="R54" s="128"/>
      <c r="S54" s="128"/>
      <c r="T54" s="128"/>
      <c r="U54" s="128"/>
      <c r="V54" s="128"/>
      <c r="W54" s="128"/>
      <c r="X54" s="128"/>
      <c r="Y54" s="128"/>
      <c r="Z54" s="128"/>
      <c r="AA54" s="128"/>
      <c r="AB54" s="128"/>
      <c r="AC54" s="128"/>
      <c r="AD54" s="128"/>
      <c r="AE54" s="128"/>
      <c r="AF54" s="128"/>
      <c r="AG54" s="128"/>
    </row>
    <row r="55" spans="1:33" s="169" customFormat="1">
      <c r="A55" s="128"/>
      <c r="B55" s="503" t="s">
        <v>138</v>
      </c>
      <c r="C55" s="503"/>
      <c r="D55" s="503"/>
      <c r="E55" s="165"/>
      <c r="F55" s="167"/>
      <c r="G55" s="165"/>
      <c r="H55" s="166"/>
      <c r="I55" s="165"/>
      <c r="J55" s="333">
        <f>'Machinery Cost'!$D$70</f>
        <v>6.4549999999999992</v>
      </c>
      <c r="L55" s="128"/>
      <c r="M55" s="128"/>
      <c r="N55" s="128"/>
      <c r="O55" s="128"/>
      <c r="P55" s="128"/>
      <c r="Q55" s="128"/>
      <c r="R55" s="128"/>
      <c r="S55" s="128"/>
      <c r="T55" s="128"/>
      <c r="U55" s="128"/>
      <c r="V55" s="128"/>
      <c r="W55" s="128"/>
      <c r="X55" s="128"/>
      <c r="Y55" s="128"/>
      <c r="Z55" s="128"/>
      <c r="AA55" s="128"/>
      <c r="AB55" s="128"/>
      <c r="AC55" s="128"/>
      <c r="AD55" s="128"/>
      <c r="AE55" s="128"/>
      <c r="AF55" s="128"/>
      <c r="AG55" s="128"/>
    </row>
    <row r="56" spans="1:33" s="169" customFormat="1">
      <c r="A56" s="128"/>
      <c r="B56" s="503" t="s">
        <v>139</v>
      </c>
      <c r="C56" s="503"/>
      <c r="D56" s="503"/>
      <c r="E56" s="165"/>
      <c r="F56" s="167"/>
      <c r="G56" s="165"/>
      <c r="H56" s="166"/>
      <c r="I56" s="165"/>
      <c r="J56" s="333">
        <f>'Machinery Cost'!$E$70</f>
        <v>3.7249999999999996</v>
      </c>
      <c r="L56" s="128"/>
      <c r="M56" s="128"/>
      <c r="N56" s="128"/>
      <c r="O56" s="128"/>
      <c r="P56" s="128"/>
      <c r="Q56" s="128"/>
      <c r="R56" s="128"/>
      <c r="S56" s="128"/>
      <c r="T56" s="128"/>
      <c r="U56" s="128"/>
      <c r="V56" s="128"/>
      <c r="W56" s="128"/>
      <c r="X56" s="128"/>
      <c r="Y56" s="128"/>
      <c r="Z56" s="128"/>
      <c r="AA56" s="128"/>
      <c r="AB56" s="128"/>
      <c r="AC56" s="128"/>
      <c r="AD56" s="128"/>
      <c r="AE56" s="128"/>
      <c r="AF56" s="128"/>
      <c r="AG56" s="128"/>
    </row>
    <row r="57" spans="1:33" s="169" customFormat="1">
      <c r="A57" s="128"/>
      <c r="B57" s="503" t="s">
        <v>152</v>
      </c>
      <c r="C57" s="503"/>
      <c r="D57" s="503"/>
      <c r="E57" s="165"/>
      <c r="F57" s="167"/>
      <c r="G57" s="165"/>
      <c r="H57" s="166"/>
      <c r="I57" s="165"/>
      <c r="J57" s="333">
        <f>'Machinery Cost'!$F$70</f>
        <v>1.661</v>
      </c>
      <c r="L57" s="128"/>
      <c r="M57" s="128"/>
      <c r="N57" s="128"/>
      <c r="O57" s="128"/>
      <c r="P57" s="128"/>
      <c r="Q57" s="128"/>
      <c r="R57" s="128"/>
      <c r="S57" s="128"/>
      <c r="T57" s="128"/>
      <c r="U57" s="128"/>
      <c r="V57" s="128"/>
      <c r="W57" s="128"/>
      <c r="X57" s="128"/>
      <c r="Y57" s="128"/>
      <c r="Z57" s="128"/>
      <c r="AA57" s="128"/>
      <c r="AB57" s="128"/>
      <c r="AC57" s="128"/>
      <c r="AD57" s="128"/>
      <c r="AE57" s="128"/>
      <c r="AF57" s="128"/>
      <c r="AG57" s="128"/>
    </row>
    <row r="58" spans="1:33" s="169" customFormat="1" ht="14.25">
      <c r="A58" s="128"/>
      <c r="B58" s="194" t="s">
        <v>277</v>
      </c>
      <c r="C58" s="194"/>
      <c r="D58" s="195"/>
      <c r="E58" s="165"/>
      <c r="F58" s="167"/>
      <c r="G58" s="165"/>
      <c r="H58" s="166"/>
      <c r="I58" s="165"/>
      <c r="J58" s="193">
        <f>'Summer Fallow'!$J$58*1.09</f>
        <v>95.657331254999974</v>
      </c>
      <c r="L58" s="128"/>
      <c r="M58" s="128"/>
      <c r="N58" s="128"/>
      <c r="O58" s="128"/>
      <c r="P58" s="128"/>
      <c r="Q58" s="128"/>
      <c r="R58" s="128"/>
      <c r="S58" s="128"/>
      <c r="T58" s="128"/>
      <c r="U58" s="128"/>
      <c r="V58" s="128"/>
      <c r="W58" s="128"/>
      <c r="X58" s="128"/>
      <c r="Y58" s="128"/>
      <c r="Z58" s="128"/>
      <c r="AA58" s="128"/>
      <c r="AB58" s="128"/>
      <c r="AC58" s="128"/>
      <c r="AD58" s="128"/>
      <c r="AE58" s="128"/>
      <c r="AF58" s="128"/>
      <c r="AG58" s="128"/>
    </row>
    <row r="59" spans="1:33" s="169" customFormat="1">
      <c r="A59" s="128"/>
      <c r="B59" s="194" t="s">
        <v>77</v>
      </c>
      <c r="C59" s="165"/>
      <c r="D59" s="195">
        <v>1</v>
      </c>
      <c r="E59" s="165"/>
      <c r="F59" s="196" t="s">
        <v>199</v>
      </c>
      <c r="G59" s="165"/>
      <c r="H59" s="221">
        <f>($D$14*$H$14)*$D$61-('Summer Fallow'!$J$15+'Summer Fallow'!$J$21+'CT Winter Wheat'!$J$25+J21+$H$42)*$D$61-$J$65</f>
        <v>69.533019999999993</v>
      </c>
      <c r="I59" s="165"/>
      <c r="J59" s="193">
        <f>($D$14*$H$14)*$D$61-('Summer Fallow'!$J$15+'Summer Fallow'!$J$21+'CT Winter Wheat'!$J$25+J21+$H$42)*$D$61-$J$65</f>
        <v>69.533019999999993</v>
      </c>
      <c r="L59" s="128"/>
      <c r="M59" s="128"/>
      <c r="N59" s="128"/>
      <c r="O59" s="128"/>
      <c r="P59" s="128"/>
      <c r="Q59" s="128"/>
      <c r="R59" s="128"/>
      <c r="S59" s="128"/>
      <c r="T59" s="128"/>
      <c r="U59" s="128"/>
      <c r="V59" s="128"/>
      <c r="W59" s="128"/>
      <c r="X59" s="128"/>
      <c r="Y59" s="128"/>
      <c r="Z59" s="128"/>
      <c r="AA59" s="128"/>
      <c r="AB59" s="128"/>
      <c r="AC59" s="128"/>
      <c r="AD59" s="128"/>
      <c r="AE59" s="128"/>
      <c r="AF59" s="128"/>
      <c r="AG59" s="128"/>
    </row>
    <row r="60" spans="1:33" s="169" customFormat="1" ht="12.75" customHeight="1">
      <c r="A60" s="128"/>
      <c r="B60" s="165" t="s">
        <v>78</v>
      </c>
      <c r="C60" s="165"/>
      <c r="D60" s="166"/>
      <c r="E60" s="165"/>
      <c r="F60" s="167"/>
      <c r="G60" s="165"/>
      <c r="H60" s="222"/>
      <c r="I60" s="165"/>
      <c r="J60" s="193"/>
      <c r="L60" s="128"/>
      <c r="M60" s="128"/>
      <c r="N60" s="128"/>
      <c r="O60" s="128"/>
      <c r="P60" s="128"/>
      <c r="Q60" s="128"/>
      <c r="R60" s="128"/>
      <c r="S60" s="128"/>
      <c r="T60" s="128"/>
      <c r="U60" s="128"/>
      <c r="V60" s="128"/>
      <c r="W60" s="128"/>
      <c r="X60" s="128"/>
      <c r="Y60" s="128"/>
      <c r="Z60" s="128"/>
      <c r="AA60" s="128"/>
      <c r="AB60" s="128"/>
      <c r="AC60" s="128"/>
      <c r="AD60" s="128"/>
      <c r="AE60" s="128"/>
      <c r="AF60" s="128"/>
      <c r="AG60" s="128"/>
    </row>
    <row r="61" spans="1:33" s="169" customFormat="1" ht="12.75" customHeight="1">
      <c r="A61" s="128"/>
      <c r="B61" s="165" t="s">
        <v>79</v>
      </c>
      <c r="C61" s="165"/>
      <c r="D61" s="332">
        <f>OwnShare</f>
        <v>0.33</v>
      </c>
      <c r="E61" s="165"/>
      <c r="F61" s="167"/>
      <c r="G61" s="165"/>
      <c r="H61" s="197"/>
      <c r="I61" s="165"/>
      <c r="J61" s="193"/>
      <c r="L61" s="128"/>
      <c r="M61" s="128"/>
      <c r="N61" s="128"/>
      <c r="O61" s="128"/>
      <c r="P61" s="128"/>
      <c r="Q61" s="128"/>
      <c r="R61" s="128"/>
      <c r="S61" s="128"/>
      <c r="T61" s="128"/>
      <c r="U61" s="128"/>
      <c r="V61" s="128"/>
      <c r="W61" s="128"/>
      <c r="X61" s="128"/>
      <c r="Y61" s="128"/>
      <c r="Z61" s="128"/>
      <c r="AA61" s="128"/>
      <c r="AB61" s="128"/>
      <c r="AC61" s="128"/>
      <c r="AD61" s="128"/>
      <c r="AE61" s="128"/>
      <c r="AF61" s="128"/>
      <c r="AG61" s="128"/>
    </row>
    <row r="62" spans="1:33" s="169" customFormat="1" ht="12.75" customHeight="1">
      <c r="A62" s="128"/>
      <c r="B62" s="165" t="s">
        <v>151</v>
      </c>
      <c r="C62" s="165"/>
      <c r="D62" s="332">
        <f>OpShare</f>
        <v>0.67</v>
      </c>
      <c r="E62" s="165"/>
      <c r="F62" s="167"/>
      <c r="G62" s="165"/>
      <c r="H62" s="197"/>
      <c r="I62" s="165"/>
      <c r="J62" s="193"/>
      <c r="L62" s="128"/>
      <c r="M62" s="128"/>
      <c r="N62" s="128"/>
      <c r="O62" s="128"/>
      <c r="P62" s="128"/>
      <c r="Q62" s="128"/>
      <c r="R62" s="128"/>
      <c r="S62" s="128"/>
      <c r="T62" s="128"/>
      <c r="U62" s="128"/>
      <c r="V62" s="128"/>
      <c r="W62" s="128"/>
      <c r="X62" s="128"/>
      <c r="Y62" s="128"/>
      <c r="Z62" s="128"/>
      <c r="AA62" s="128"/>
      <c r="AB62" s="128"/>
      <c r="AC62" s="128"/>
      <c r="AD62" s="128"/>
      <c r="AE62" s="128"/>
      <c r="AF62" s="128"/>
      <c r="AG62" s="128"/>
    </row>
    <row r="63" spans="1:33">
      <c r="A63" s="128"/>
      <c r="B63" s="501"/>
      <c r="C63" s="501"/>
      <c r="D63" s="501"/>
      <c r="E63" s="502"/>
      <c r="F63" s="502"/>
      <c r="G63" s="154"/>
      <c r="H63" s="155"/>
      <c r="I63" s="154"/>
      <c r="J63" s="193"/>
    </row>
    <row r="64" spans="1:33">
      <c r="B64" s="60" t="s">
        <v>286</v>
      </c>
      <c r="C64" s="156"/>
      <c r="D64" s="156"/>
      <c r="E64" s="154"/>
      <c r="F64" s="156"/>
      <c r="G64" s="154"/>
      <c r="H64" s="155"/>
      <c r="I64" s="154"/>
      <c r="J64" s="334">
        <f>+cashrent</f>
        <v>0</v>
      </c>
    </row>
    <row r="65" spans="1:33">
      <c r="B65" s="60" t="s">
        <v>153</v>
      </c>
      <c r="C65" s="156"/>
      <c r="D65" s="156"/>
      <c r="E65" s="154"/>
      <c r="F65" s="156"/>
      <c r="G65" s="154"/>
      <c r="H65" s="155"/>
      <c r="I65" s="154"/>
      <c r="J65" s="334">
        <f>landtax</f>
        <v>2.9</v>
      </c>
    </row>
    <row r="66" spans="1:33" ht="5.25" customHeight="1">
      <c r="B66" s="154"/>
      <c r="C66" s="154"/>
      <c r="D66" s="155"/>
      <c r="E66" s="154"/>
      <c r="F66" s="156"/>
      <c r="G66" s="154"/>
      <c r="H66" s="155"/>
      <c r="I66" s="154"/>
      <c r="J66" s="193"/>
    </row>
    <row r="67" spans="1:33" s="191" customFormat="1">
      <c r="A67" s="186"/>
      <c r="B67" s="187" t="s">
        <v>101</v>
      </c>
      <c r="C67" s="187"/>
      <c r="D67" s="188"/>
      <c r="E67" s="187"/>
      <c r="F67" s="189"/>
      <c r="G67" s="187"/>
      <c r="H67" s="188"/>
      <c r="I67" s="187"/>
      <c r="J67" s="193">
        <f>SUM(J54:J65)</f>
        <v>179.93135125499995</v>
      </c>
      <c r="L67" s="186"/>
      <c r="M67" s="186"/>
      <c r="N67" s="186"/>
      <c r="O67" s="186"/>
      <c r="P67" s="186"/>
      <c r="Q67" s="186"/>
      <c r="R67" s="186"/>
      <c r="S67" s="186"/>
      <c r="T67" s="186"/>
      <c r="U67" s="186"/>
      <c r="V67" s="186"/>
      <c r="W67" s="186"/>
      <c r="X67" s="186"/>
      <c r="Y67" s="186"/>
      <c r="Z67" s="186"/>
      <c r="AA67" s="186"/>
      <c r="AB67" s="186"/>
      <c r="AC67" s="186"/>
      <c r="AD67" s="186"/>
      <c r="AE67" s="186"/>
      <c r="AF67" s="186"/>
      <c r="AG67" s="186"/>
    </row>
    <row r="68" spans="1:33" s="169" customFormat="1">
      <c r="A68" s="128"/>
      <c r="B68" s="165" t="s">
        <v>102</v>
      </c>
      <c r="C68" s="165"/>
      <c r="D68" s="166"/>
      <c r="E68" s="165"/>
      <c r="F68" s="167"/>
      <c r="G68" s="165"/>
      <c r="H68" s="166"/>
      <c r="I68" s="165"/>
      <c r="J68" s="193">
        <f>J67/D14</f>
        <v>3.2714791137272718</v>
      </c>
      <c r="L68" s="128"/>
      <c r="M68" s="128"/>
      <c r="N68" s="128"/>
      <c r="O68" s="128"/>
      <c r="P68" s="128"/>
      <c r="Q68" s="128"/>
      <c r="R68" s="128"/>
      <c r="S68" s="128"/>
      <c r="T68" s="128"/>
      <c r="U68" s="128"/>
      <c r="V68" s="128"/>
      <c r="W68" s="128"/>
      <c r="X68" s="128"/>
      <c r="Y68" s="128"/>
      <c r="Z68" s="128"/>
      <c r="AA68" s="128"/>
      <c r="AB68" s="128"/>
      <c r="AC68" s="128"/>
      <c r="AD68" s="128"/>
      <c r="AE68" s="128"/>
      <c r="AF68" s="128"/>
      <c r="AG68" s="128"/>
    </row>
    <row r="69" spans="1:33" s="169" customFormat="1">
      <c r="A69" s="128"/>
      <c r="B69" s="165"/>
      <c r="C69" s="165"/>
      <c r="D69" s="166"/>
      <c r="E69" s="165"/>
      <c r="F69" s="167"/>
      <c r="G69" s="165"/>
      <c r="H69" s="166"/>
      <c r="I69" s="165"/>
      <c r="J69" s="193"/>
      <c r="L69" s="128"/>
      <c r="M69" s="128"/>
      <c r="N69" s="128"/>
      <c r="O69" s="128"/>
      <c r="P69" s="128"/>
      <c r="Q69" s="128"/>
      <c r="R69" s="128"/>
      <c r="S69" s="128"/>
      <c r="T69" s="128"/>
      <c r="U69" s="128"/>
      <c r="V69" s="128"/>
      <c r="W69" s="128"/>
      <c r="X69" s="128"/>
      <c r="Y69" s="128"/>
      <c r="Z69" s="128"/>
      <c r="AA69" s="128"/>
      <c r="AB69" s="128"/>
      <c r="AC69" s="128"/>
      <c r="AD69" s="128"/>
      <c r="AE69" s="128"/>
      <c r="AF69" s="128"/>
      <c r="AG69" s="128"/>
    </row>
    <row r="70" spans="1:33" s="56" customFormat="1">
      <c r="A70" s="55"/>
      <c r="B70" s="65" t="s">
        <v>186</v>
      </c>
      <c r="C70" s="65"/>
      <c r="D70" s="77"/>
      <c r="E70" s="65"/>
      <c r="F70" s="66"/>
      <c r="G70" s="65"/>
      <c r="H70" s="77"/>
      <c r="I70" s="65"/>
      <c r="J70" s="193">
        <f>J49+J67</f>
        <v>229.53952300499995</v>
      </c>
      <c r="L70" s="55"/>
      <c r="M70" s="55"/>
      <c r="N70" s="55"/>
      <c r="O70" s="55"/>
      <c r="P70" s="55"/>
      <c r="Q70" s="55"/>
      <c r="R70" s="55"/>
      <c r="S70" s="55"/>
      <c r="T70" s="55"/>
      <c r="U70" s="55"/>
      <c r="V70" s="55"/>
      <c r="W70" s="55"/>
      <c r="X70" s="55"/>
      <c r="Y70" s="55"/>
      <c r="Z70" s="55"/>
      <c r="AA70" s="55"/>
      <c r="AB70" s="55"/>
      <c r="AC70" s="55"/>
      <c r="AD70" s="55"/>
      <c r="AE70" s="55"/>
      <c r="AF70" s="55"/>
      <c r="AG70" s="55"/>
    </row>
    <row r="71" spans="1:33">
      <c r="B71" s="154" t="s">
        <v>187</v>
      </c>
      <c r="C71" s="154"/>
      <c r="D71" s="155"/>
      <c r="E71" s="154"/>
      <c r="F71" s="156"/>
      <c r="G71" s="154"/>
      <c r="H71" s="155"/>
      <c r="I71" s="154"/>
      <c r="J71" s="184">
        <f>J70/D14</f>
        <v>4.1734458728181805</v>
      </c>
    </row>
    <row r="72" spans="1:33">
      <c r="B72" s="154"/>
      <c r="C72" s="154"/>
      <c r="D72" s="155"/>
      <c r="E72" s="154"/>
      <c r="F72" s="156"/>
      <c r="G72" s="154"/>
      <c r="H72" s="155"/>
      <c r="I72" s="154"/>
      <c r="J72" s="184"/>
    </row>
    <row r="73" spans="1:33" s="191" customFormat="1" ht="12" customHeight="1">
      <c r="A73" s="186"/>
      <c r="B73" s="187" t="s">
        <v>188</v>
      </c>
      <c r="C73" s="187"/>
      <c r="D73" s="188"/>
      <c r="E73" s="187"/>
      <c r="F73" s="189"/>
      <c r="G73" s="187"/>
      <c r="H73" s="188"/>
      <c r="I73" s="187"/>
      <c r="J73" s="190">
        <f>J14-J70</f>
        <v>49.860476995000028</v>
      </c>
      <c r="L73" s="186"/>
      <c r="M73" s="186"/>
      <c r="N73" s="186"/>
      <c r="O73" s="186"/>
      <c r="P73" s="186"/>
      <c r="Q73" s="186"/>
      <c r="R73" s="186"/>
      <c r="S73" s="186"/>
      <c r="T73" s="186"/>
      <c r="U73" s="186"/>
      <c r="V73" s="186"/>
      <c r="W73" s="186"/>
      <c r="X73" s="186"/>
      <c r="Y73" s="186"/>
      <c r="Z73" s="186"/>
      <c r="AA73" s="186"/>
      <c r="AB73" s="186"/>
      <c r="AC73" s="186"/>
      <c r="AD73" s="186"/>
      <c r="AE73" s="186"/>
      <c r="AF73" s="186"/>
      <c r="AG73" s="186"/>
    </row>
    <row r="74" spans="1:33" s="191" customFormat="1" ht="12" customHeight="1">
      <c r="A74" s="186"/>
      <c r="B74" s="223"/>
      <c r="C74" s="223"/>
      <c r="D74" s="224"/>
      <c r="E74" s="223"/>
      <c r="F74" s="225"/>
      <c r="G74" s="223"/>
      <c r="H74" s="224"/>
      <c r="I74" s="223"/>
      <c r="J74" s="226"/>
      <c r="L74" s="186"/>
      <c r="M74" s="186"/>
      <c r="N74" s="186"/>
      <c r="O74" s="186"/>
      <c r="P74" s="186"/>
      <c r="Q74" s="186"/>
      <c r="R74" s="186"/>
      <c r="S74" s="186"/>
      <c r="T74" s="186"/>
      <c r="U74" s="186"/>
      <c r="V74" s="186"/>
      <c r="W74" s="186"/>
      <c r="X74" s="186"/>
      <c r="Y74" s="186"/>
      <c r="Z74" s="186"/>
      <c r="AA74" s="186"/>
      <c r="AB74" s="186"/>
      <c r="AC74" s="186"/>
      <c r="AD74" s="186"/>
      <c r="AE74" s="186"/>
      <c r="AF74" s="186"/>
      <c r="AG74" s="186"/>
    </row>
    <row r="75" spans="1:33" s="169" customFormat="1">
      <c r="A75" s="128"/>
      <c r="B75" s="128" t="s">
        <v>218</v>
      </c>
      <c r="C75" s="128"/>
      <c r="D75" s="198"/>
      <c r="E75" s="128"/>
      <c r="F75" s="199"/>
      <c r="G75" s="128"/>
      <c r="H75" s="198"/>
      <c r="I75" s="128"/>
      <c r="J75" s="200"/>
      <c r="L75" s="128"/>
      <c r="M75" s="128"/>
      <c r="N75" s="128"/>
      <c r="O75" s="128"/>
      <c r="P75" s="128"/>
      <c r="Q75" s="128"/>
      <c r="R75" s="128"/>
      <c r="S75" s="128"/>
      <c r="T75" s="128"/>
      <c r="U75" s="128"/>
      <c r="V75" s="128"/>
      <c r="W75" s="128"/>
      <c r="X75" s="128"/>
      <c r="Y75" s="128"/>
      <c r="Z75" s="128"/>
      <c r="AA75" s="128"/>
      <c r="AB75" s="128"/>
      <c r="AC75" s="128"/>
      <c r="AD75" s="128"/>
      <c r="AE75" s="128"/>
      <c r="AF75" s="128"/>
      <c r="AG75" s="128"/>
    </row>
    <row r="76" spans="1:33" s="191" customFormat="1" ht="15" customHeight="1">
      <c r="A76" s="55"/>
      <c r="B76" s="57" t="s">
        <v>221</v>
      </c>
      <c r="C76" s="186"/>
      <c r="D76" s="201"/>
      <c r="E76" s="186"/>
      <c r="F76" s="202"/>
      <c r="G76" s="186"/>
      <c r="H76" s="201"/>
      <c r="I76" s="186"/>
      <c r="J76" s="192"/>
      <c r="L76" s="186"/>
      <c r="M76" s="186"/>
      <c r="N76" s="186"/>
      <c r="O76" s="186"/>
      <c r="P76" s="186"/>
      <c r="Q76" s="186"/>
      <c r="R76" s="186"/>
      <c r="S76" s="186"/>
      <c r="T76" s="186"/>
      <c r="U76" s="186"/>
      <c r="V76" s="186"/>
      <c r="W76" s="186"/>
      <c r="X76" s="186"/>
      <c r="Y76" s="186"/>
      <c r="Z76" s="186"/>
      <c r="AA76" s="186"/>
      <c r="AB76" s="186"/>
      <c r="AC76" s="186"/>
      <c r="AD76" s="186"/>
      <c r="AE76" s="186"/>
      <c r="AF76" s="186"/>
      <c r="AG76" s="186"/>
    </row>
    <row r="77" spans="1:33" s="191" customFormat="1" ht="15" customHeight="1">
      <c r="A77" s="55"/>
      <c r="B77" s="240" t="s">
        <v>306</v>
      </c>
      <c r="C77" s="186"/>
      <c r="D77" s="201"/>
      <c r="E77" s="186"/>
      <c r="F77" s="202"/>
      <c r="G77" s="186"/>
      <c r="H77" s="201"/>
      <c r="I77" s="186"/>
      <c r="J77" s="192"/>
      <c r="L77" s="186"/>
      <c r="M77" s="186"/>
      <c r="N77" s="186"/>
      <c r="O77" s="186"/>
      <c r="P77" s="186"/>
      <c r="Q77" s="186"/>
      <c r="R77" s="186"/>
      <c r="S77" s="186"/>
      <c r="T77" s="186"/>
      <c r="U77" s="186"/>
      <c r="V77" s="186"/>
      <c r="W77" s="186"/>
      <c r="X77" s="186"/>
      <c r="Y77" s="186"/>
      <c r="Z77" s="186"/>
      <c r="AA77" s="186"/>
      <c r="AB77" s="186"/>
      <c r="AC77" s="186"/>
      <c r="AD77" s="186"/>
      <c r="AE77" s="186"/>
      <c r="AF77" s="186"/>
      <c r="AG77" s="186"/>
    </row>
    <row r="78" spans="1:33" s="48" customFormat="1" ht="15" customHeight="1">
      <c r="B78" s="481" t="s">
        <v>278</v>
      </c>
      <c r="C78" s="480"/>
      <c r="D78" s="480"/>
      <c r="E78" s="480"/>
      <c r="F78" s="480"/>
      <c r="G78" s="480"/>
      <c r="H78" s="480"/>
      <c r="I78" s="480"/>
      <c r="J78" s="480"/>
    </row>
    <row r="79" spans="1:33" s="48" customFormat="1" ht="15" customHeight="1">
      <c r="B79" s="481" t="s">
        <v>309</v>
      </c>
      <c r="C79" s="480"/>
      <c r="D79" s="480"/>
      <c r="E79" s="480"/>
      <c r="F79" s="480"/>
      <c r="G79" s="480"/>
      <c r="H79" s="480"/>
      <c r="I79" s="480"/>
      <c r="J79" s="480"/>
    </row>
    <row r="80" spans="1:33" s="48" customFormat="1" ht="15" customHeight="1">
      <c r="B80" s="235" t="s">
        <v>287</v>
      </c>
      <c r="C80" s="86"/>
      <c r="D80" s="86"/>
      <c r="E80" s="86"/>
      <c r="F80" s="86"/>
      <c r="G80" s="86"/>
      <c r="H80" s="86"/>
      <c r="I80" s="86"/>
      <c r="J80" s="86"/>
    </row>
    <row r="81" spans="1:33" s="48" customFormat="1" ht="15" customHeight="1">
      <c r="B81" s="479" t="s">
        <v>295</v>
      </c>
      <c r="C81" s="480"/>
      <c r="D81" s="480"/>
      <c r="E81" s="480"/>
      <c r="F81" s="480"/>
      <c r="G81" s="480"/>
      <c r="H81" s="480"/>
      <c r="I81" s="480"/>
      <c r="J81" s="480"/>
    </row>
    <row r="82" spans="1:33" s="191" customFormat="1" ht="15" customHeight="1">
      <c r="A82" s="48"/>
      <c r="B82" s="477" t="s">
        <v>294</v>
      </c>
      <c r="C82" s="477"/>
      <c r="D82" s="477"/>
      <c r="E82" s="477"/>
      <c r="F82" s="477"/>
      <c r="G82" s="477"/>
      <c r="H82" s="477"/>
      <c r="I82" s="477"/>
      <c r="J82" s="477"/>
      <c r="K82" s="48"/>
      <c r="L82" s="48"/>
      <c r="M82" s="48"/>
      <c r="N82" s="48"/>
      <c r="O82" s="48"/>
      <c r="P82" s="48"/>
      <c r="Q82" s="48"/>
      <c r="R82" s="48"/>
      <c r="S82" s="48"/>
      <c r="T82" s="48"/>
      <c r="U82" s="48"/>
      <c r="V82" s="48"/>
      <c r="W82" s="48"/>
      <c r="X82" s="48"/>
      <c r="Y82" s="48"/>
      <c r="Z82" s="48"/>
      <c r="AA82" s="48"/>
      <c r="AB82" s="48"/>
      <c r="AC82" s="48"/>
      <c r="AD82" s="48"/>
      <c r="AE82" s="48"/>
      <c r="AF82" s="48"/>
      <c r="AG82" s="186"/>
    </row>
    <row r="83" spans="1:33" s="169" customFormat="1">
      <c r="A83" s="128"/>
      <c r="B83" s="165"/>
      <c r="C83" s="165"/>
      <c r="D83" s="166"/>
      <c r="E83" s="165"/>
      <c r="F83" s="167"/>
      <c r="G83" s="165"/>
      <c r="H83" s="166"/>
      <c r="I83" s="165"/>
      <c r="J83" s="165"/>
      <c r="L83" s="128"/>
      <c r="M83" s="128"/>
      <c r="N83" s="128"/>
      <c r="O83" s="128"/>
      <c r="P83" s="128"/>
      <c r="Q83" s="128"/>
      <c r="R83" s="128"/>
      <c r="S83" s="128"/>
      <c r="T83" s="128"/>
      <c r="U83" s="128"/>
      <c r="V83" s="128"/>
      <c r="W83" s="128"/>
      <c r="X83" s="128"/>
      <c r="Y83" s="128"/>
      <c r="Z83" s="128"/>
      <c r="AA83" s="128"/>
      <c r="AB83" s="128"/>
      <c r="AC83" s="128"/>
      <c r="AD83" s="128"/>
      <c r="AE83" s="128"/>
      <c r="AF83" s="128"/>
      <c r="AG83" s="128"/>
    </row>
    <row r="84" spans="1:33">
      <c r="A84" s="128"/>
      <c r="B84" s="28" t="s">
        <v>189</v>
      </c>
      <c r="C84" s="154"/>
      <c r="D84" s="203" t="s">
        <v>190</v>
      </c>
      <c r="E84" s="154"/>
      <c r="F84" s="156"/>
      <c r="G84" s="154"/>
      <c r="H84" s="203" t="s">
        <v>192</v>
      </c>
      <c r="I84" s="154"/>
      <c r="J84" s="154"/>
    </row>
    <row r="85" spans="1:33">
      <c r="B85" s="154"/>
      <c r="C85" s="154"/>
      <c r="D85" s="204">
        <v>0.1</v>
      </c>
      <c r="E85" s="154"/>
      <c r="F85" s="13" t="s">
        <v>191</v>
      </c>
      <c r="G85" s="154"/>
      <c r="H85" s="204">
        <v>0.1</v>
      </c>
      <c r="I85" s="154"/>
      <c r="J85" s="154"/>
    </row>
    <row r="86" spans="1:33">
      <c r="B86" s="154"/>
      <c r="C86" s="154"/>
      <c r="D86" s="205"/>
      <c r="E86" s="160"/>
      <c r="F86" s="159" t="s">
        <v>193</v>
      </c>
      <c r="G86" s="160"/>
      <c r="H86" s="205"/>
      <c r="I86" s="154"/>
      <c r="J86" s="154"/>
    </row>
    <row r="87" spans="1:33">
      <c r="B87" s="32" t="s">
        <v>194</v>
      </c>
      <c r="C87" s="154"/>
      <c r="D87" s="206">
        <f>F87*(1-D85)</f>
        <v>49.5</v>
      </c>
      <c r="E87" s="207"/>
      <c r="F87" s="208">
        <f>D14</f>
        <v>55</v>
      </c>
      <c r="G87" s="207"/>
      <c r="H87" s="209">
        <f>F87*(1+H85)</f>
        <v>60.500000000000007</v>
      </c>
      <c r="I87" s="154"/>
      <c r="J87" s="154"/>
    </row>
    <row r="88" spans="1:33" ht="4.5" customHeight="1">
      <c r="B88" s="154"/>
      <c r="C88" s="154"/>
      <c r="D88" s="155"/>
      <c r="E88" s="154"/>
      <c r="F88" s="156"/>
      <c r="G88" s="154"/>
      <c r="H88" s="155"/>
      <c r="I88" s="154"/>
      <c r="J88" s="154"/>
    </row>
    <row r="89" spans="1:33">
      <c r="B89" s="154" t="s">
        <v>195</v>
      </c>
      <c r="C89" s="154"/>
      <c r="D89" s="210">
        <f>$J$49/D87</f>
        <v>1.0021852878787878</v>
      </c>
      <c r="E89" s="154"/>
      <c r="F89" s="210">
        <f>$J$49/F87</f>
        <v>0.90196675909090906</v>
      </c>
      <c r="G89" s="154"/>
      <c r="H89" s="210">
        <f>$J$49/H87</f>
        <v>0.81996978099173534</v>
      </c>
      <c r="I89" s="154"/>
      <c r="J89" s="154"/>
    </row>
    <row r="90" spans="1:33" ht="4.5" customHeight="1">
      <c r="B90" s="154"/>
      <c r="C90" s="154"/>
      <c r="D90" s="155"/>
      <c r="E90" s="154"/>
      <c r="F90" s="156"/>
      <c r="G90" s="154"/>
      <c r="H90" s="155"/>
      <c r="I90" s="154"/>
      <c r="J90" s="154"/>
    </row>
    <row r="91" spans="1:33">
      <c r="B91" s="154" t="s">
        <v>196</v>
      </c>
      <c r="C91" s="154"/>
      <c r="D91" s="210">
        <f>$J$67/D87</f>
        <v>3.6349767930303023</v>
      </c>
      <c r="E91" s="154"/>
      <c r="F91" s="210">
        <f>$J$67/F87</f>
        <v>3.2714791137272718</v>
      </c>
      <c r="G91" s="154"/>
      <c r="H91" s="210">
        <f>$J$67/H87</f>
        <v>2.9740719215702467</v>
      </c>
      <c r="I91" s="154"/>
      <c r="J91" s="154"/>
    </row>
    <row r="92" spans="1:33" ht="3.75" customHeight="1">
      <c r="B92" s="154"/>
      <c r="C92" s="154"/>
      <c r="D92" s="155"/>
      <c r="E92" s="154"/>
      <c r="F92" s="156"/>
      <c r="G92" s="154"/>
      <c r="H92" s="155"/>
      <c r="I92" s="154"/>
      <c r="J92" s="154"/>
    </row>
    <row r="93" spans="1:33">
      <c r="B93" s="154" t="s">
        <v>197</v>
      </c>
      <c r="C93" s="154"/>
      <c r="D93" s="210">
        <f>$J$70/D87</f>
        <v>4.6371620809090901</v>
      </c>
      <c r="E93" s="154"/>
      <c r="F93" s="210">
        <f>$J$70/F87</f>
        <v>4.1734458728181805</v>
      </c>
      <c r="G93" s="154"/>
      <c r="H93" s="210">
        <f>$J$70/H87</f>
        <v>3.7940417025619824</v>
      </c>
      <c r="I93" s="154"/>
      <c r="J93" s="154"/>
    </row>
    <row r="94" spans="1:33" ht="5.25" customHeight="1">
      <c r="B94" s="211"/>
      <c r="C94" s="211"/>
      <c r="D94" s="158"/>
      <c r="E94" s="211"/>
      <c r="F94" s="212"/>
      <c r="G94" s="211"/>
      <c r="H94" s="158"/>
      <c r="I94" s="211"/>
      <c r="J94" s="211"/>
    </row>
    <row r="95" spans="1:33">
      <c r="B95" s="154"/>
      <c r="C95" s="154"/>
      <c r="D95" s="203" t="s">
        <v>190</v>
      </c>
      <c r="E95" s="154"/>
      <c r="F95" s="156"/>
      <c r="G95" s="154"/>
      <c r="H95" s="203" t="s">
        <v>192</v>
      </c>
      <c r="I95" s="154"/>
      <c r="J95" s="154"/>
    </row>
    <row r="96" spans="1:33">
      <c r="B96" s="154"/>
      <c r="C96" s="154"/>
      <c r="D96" s="204">
        <v>0.1</v>
      </c>
      <c r="E96" s="154"/>
      <c r="F96" s="13" t="s">
        <v>191</v>
      </c>
      <c r="G96" s="154"/>
      <c r="H96" s="204">
        <v>0.1</v>
      </c>
      <c r="I96" s="154"/>
      <c r="J96" s="154"/>
    </row>
    <row r="97" spans="2:10">
      <c r="B97" s="154"/>
      <c r="C97" s="154"/>
      <c r="D97" s="159"/>
      <c r="E97" s="160"/>
      <c r="F97" s="161" t="s">
        <v>194</v>
      </c>
      <c r="G97" s="160"/>
      <c r="H97" s="159"/>
      <c r="I97" s="154"/>
      <c r="J97" s="154"/>
    </row>
    <row r="98" spans="2:10">
      <c r="B98" s="32" t="s">
        <v>193</v>
      </c>
      <c r="C98" s="154"/>
      <c r="D98" s="213">
        <f>F98*(1-D85)</f>
        <v>4.5720000000000001</v>
      </c>
      <c r="E98" s="207"/>
      <c r="F98" s="214">
        <f>H14</f>
        <v>5.08</v>
      </c>
      <c r="G98" s="207"/>
      <c r="H98" s="213">
        <f>F98*(1+H85)</f>
        <v>5.588000000000001</v>
      </c>
      <c r="I98" s="154"/>
      <c r="J98" s="154"/>
    </row>
    <row r="99" spans="2:10" ht="4.5" customHeight="1">
      <c r="B99" s="154"/>
      <c r="C99" s="154"/>
      <c r="D99" s="155"/>
      <c r="E99" s="154"/>
      <c r="F99" s="156"/>
      <c r="G99" s="154"/>
      <c r="H99" s="155"/>
      <c r="I99" s="154"/>
      <c r="J99" s="154"/>
    </row>
    <row r="100" spans="2:10">
      <c r="B100" s="154" t="s">
        <v>195</v>
      </c>
      <c r="C100" s="154"/>
      <c r="D100" s="215">
        <f>$J$49/D98</f>
        <v>10.850431266404199</v>
      </c>
      <c r="E100" s="154"/>
      <c r="F100" s="215">
        <f>$J$49/F98</f>
        <v>9.765388139763779</v>
      </c>
      <c r="G100" s="154"/>
      <c r="H100" s="215">
        <f>$J$49/H98</f>
        <v>8.877625581603434</v>
      </c>
      <c r="I100" s="154"/>
      <c r="J100" s="154"/>
    </row>
    <row r="101" spans="2:10" ht="3" customHeight="1">
      <c r="B101" s="154"/>
      <c r="C101" s="154"/>
      <c r="D101" s="155"/>
      <c r="E101" s="154"/>
      <c r="F101" s="156"/>
      <c r="G101" s="154"/>
      <c r="H101" s="155"/>
      <c r="I101" s="154"/>
      <c r="J101" s="154"/>
    </row>
    <row r="102" spans="2:10">
      <c r="B102" s="154" t="s">
        <v>196</v>
      </c>
      <c r="C102" s="154"/>
      <c r="D102" s="215">
        <f>$J$67/D98</f>
        <v>39.355063704068229</v>
      </c>
      <c r="E102" s="154"/>
      <c r="F102" s="215">
        <f>$J$67/F98</f>
        <v>35.419557333661409</v>
      </c>
      <c r="G102" s="154"/>
      <c r="H102" s="215">
        <f>$J$67/H98</f>
        <v>32.199597576055822</v>
      </c>
      <c r="I102" s="154"/>
      <c r="J102" s="154"/>
    </row>
    <row r="103" spans="2:10" ht="3.75" customHeight="1">
      <c r="B103" s="154"/>
      <c r="C103" s="154"/>
      <c r="D103" s="155"/>
      <c r="E103" s="154"/>
      <c r="F103" s="156"/>
      <c r="G103" s="154"/>
      <c r="H103" s="155"/>
      <c r="I103" s="154"/>
      <c r="J103" s="154"/>
    </row>
    <row r="104" spans="2:10">
      <c r="B104" s="154" t="s">
        <v>197</v>
      </c>
      <c r="C104" s="154"/>
      <c r="D104" s="215">
        <f>$J$70/D98</f>
        <v>50.205494970472429</v>
      </c>
      <c r="E104" s="154"/>
      <c r="F104" s="215">
        <f>$J$70/F98</f>
        <v>45.184945473425188</v>
      </c>
      <c r="G104" s="154"/>
      <c r="H104" s="215">
        <f>$J$70/H98</f>
        <v>41.077223157659255</v>
      </c>
      <c r="I104" s="154"/>
      <c r="J104" s="154"/>
    </row>
    <row r="105" spans="2:10" ht="5.25" customHeight="1">
      <c r="B105" s="154"/>
      <c r="C105" s="154"/>
      <c r="D105" s="155"/>
      <c r="E105" s="154"/>
      <c r="F105" s="156"/>
      <c r="G105" s="154"/>
      <c r="H105" s="155"/>
      <c r="I105" s="154"/>
      <c r="J105" s="154"/>
    </row>
    <row r="106" spans="2:10">
      <c r="B106" s="160"/>
      <c r="C106" s="160"/>
      <c r="D106" s="159"/>
      <c r="E106" s="160"/>
      <c r="F106" s="161"/>
      <c r="G106" s="160"/>
      <c r="H106" s="159"/>
      <c r="I106" s="160"/>
      <c r="J106" s="160"/>
    </row>
    <row r="107" spans="2:10" s="57" customFormat="1">
      <c r="D107" s="216"/>
      <c r="F107" s="217"/>
      <c r="H107" s="216"/>
    </row>
    <row r="108" spans="2:10" s="57" customFormat="1">
      <c r="D108" s="216"/>
      <c r="F108" s="217"/>
      <c r="H108" s="216"/>
    </row>
    <row r="109" spans="2:10" s="57" customFormat="1">
      <c r="D109" s="216"/>
      <c r="F109" s="217"/>
      <c r="H109" s="216"/>
    </row>
    <row r="110" spans="2:10" s="57" customFormat="1">
      <c r="D110" s="216"/>
      <c r="F110" s="217"/>
      <c r="H110" s="216"/>
    </row>
    <row r="111" spans="2:10" s="57" customFormat="1">
      <c r="D111" s="216"/>
      <c r="F111" s="217"/>
      <c r="H111" s="216"/>
    </row>
    <row r="112" spans="2:10" s="57" customFormat="1">
      <c r="D112" s="216"/>
      <c r="F112" s="217"/>
      <c r="H112" s="216"/>
    </row>
    <row r="113" spans="4:8" s="57" customFormat="1">
      <c r="D113" s="216"/>
      <c r="F113" s="217"/>
      <c r="H113" s="216"/>
    </row>
    <row r="114" spans="4:8" s="57" customFormat="1">
      <c r="D114" s="216"/>
      <c r="F114" s="217"/>
      <c r="H114" s="216"/>
    </row>
    <row r="115" spans="4:8" s="57" customFormat="1">
      <c r="D115" s="216"/>
      <c r="F115" s="217"/>
      <c r="H115" s="216"/>
    </row>
    <row r="116" spans="4:8" s="57" customFormat="1">
      <c r="D116" s="216"/>
      <c r="F116" s="217"/>
      <c r="H116" s="216"/>
    </row>
    <row r="117" spans="4:8" s="57" customFormat="1">
      <c r="D117" s="216"/>
      <c r="F117" s="217"/>
      <c r="H117" s="216"/>
    </row>
    <row r="118" spans="4:8" s="57" customFormat="1">
      <c r="D118" s="216"/>
      <c r="F118" s="217"/>
      <c r="H118" s="216"/>
    </row>
    <row r="119" spans="4:8" s="57" customFormat="1">
      <c r="D119" s="216"/>
      <c r="F119" s="217"/>
      <c r="H119" s="216"/>
    </row>
    <row r="120" spans="4:8" s="57" customFormat="1">
      <c r="D120" s="216"/>
      <c r="F120" s="217"/>
      <c r="H120" s="216"/>
    </row>
    <row r="121" spans="4:8" s="57" customFormat="1">
      <c r="D121" s="216"/>
      <c r="F121" s="217"/>
      <c r="H121" s="216"/>
    </row>
    <row r="122" spans="4:8" s="57" customFormat="1">
      <c r="D122" s="216"/>
      <c r="F122" s="217"/>
      <c r="H122" s="216"/>
    </row>
    <row r="123" spans="4:8" s="57" customFormat="1">
      <c r="D123" s="216"/>
      <c r="F123" s="217"/>
      <c r="H123" s="216"/>
    </row>
    <row r="124" spans="4:8" s="57" customFormat="1">
      <c r="D124" s="216"/>
      <c r="F124" s="217"/>
      <c r="H124" s="216"/>
    </row>
    <row r="125" spans="4:8" s="57" customFormat="1">
      <c r="D125" s="216"/>
      <c r="F125" s="217"/>
      <c r="H125" s="216"/>
    </row>
    <row r="126" spans="4:8" s="57" customFormat="1">
      <c r="D126" s="216"/>
      <c r="F126" s="217"/>
      <c r="H126" s="216"/>
    </row>
    <row r="127" spans="4:8" s="57" customFormat="1">
      <c r="D127" s="216"/>
      <c r="F127" s="217"/>
      <c r="H127" s="216"/>
    </row>
    <row r="128" spans="4:8" s="57" customFormat="1">
      <c r="D128" s="216"/>
      <c r="F128" s="217"/>
      <c r="H128" s="216"/>
    </row>
    <row r="129" spans="4:8" s="57" customFormat="1">
      <c r="D129" s="216"/>
      <c r="F129" s="217"/>
      <c r="H129" s="216"/>
    </row>
    <row r="130" spans="4:8" s="57" customFormat="1">
      <c r="D130" s="216"/>
      <c r="F130" s="217"/>
      <c r="H130" s="216"/>
    </row>
    <row r="131" spans="4:8" s="57" customFormat="1">
      <c r="D131" s="216"/>
      <c r="F131" s="217"/>
      <c r="H131" s="216"/>
    </row>
    <row r="132" spans="4:8" s="57" customFormat="1">
      <c r="D132" s="216"/>
      <c r="F132" s="217"/>
      <c r="H132" s="216"/>
    </row>
    <row r="133" spans="4:8" s="57" customFormat="1">
      <c r="D133" s="216"/>
      <c r="F133" s="217"/>
      <c r="H133" s="216"/>
    </row>
    <row r="134" spans="4:8" s="57" customFormat="1">
      <c r="D134" s="216"/>
      <c r="F134" s="217"/>
      <c r="H134" s="216"/>
    </row>
    <row r="135" spans="4:8" s="57" customFormat="1">
      <c r="D135" s="216"/>
      <c r="F135" s="217"/>
      <c r="H135" s="216"/>
    </row>
    <row r="136" spans="4:8" s="57" customFormat="1">
      <c r="D136" s="216"/>
      <c r="F136" s="217"/>
      <c r="H136" s="216"/>
    </row>
    <row r="137" spans="4:8" s="57" customFormat="1">
      <c r="D137" s="216"/>
      <c r="F137" s="217"/>
      <c r="H137" s="216"/>
    </row>
    <row r="138" spans="4:8" s="57" customFormat="1">
      <c r="D138" s="216"/>
      <c r="F138" s="217"/>
      <c r="H138" s="216"/>
    </row>
    <row r="139" spans="4:8" s="57" customFormat="1">
      <c r="D139" s="216"/>
      <c r="F139" s="217"/>
      <c r="H139" s="216"/>
    </row>
    <row r="140" spans="4:8" s="57" customFormat="1">
      <c r="D140" s="216"/>
      <c r="F140" s="217"/>
      <c r="H140" s="216"/>
    </row>
    <row r="141" spans="4:8" s="57" customFormat="1">
      <c r="D141" s="216"/>
      <c r="F141" s="217"/>
      <c r="H141" s="216"/>
    </row>
    <row r="142" spans="4:8" s="57" customFormat="1">
      <c r="D142" s="216"/>
      <c r="F142" s="217"/>
      <c r="H142" s="216"/>
    </row>
    <row r="143" spans="4:8" s="57" customFormat="1">
      <c r="D143" s="216"/>
      <c r="F143" s="217"/>
      <c r="H143" s="216"/>
    </row>
    <row r="144" spans="4:8" s="57" customFormat="1">
      <c r="D144" s="216"/>
      <c r="F144" s="217"/>
      <c r="H144" s="216"/>
    </row>
    <row r="145" spans="4:8" s="57" customFormat="1">
      <c r="D145" s="216"/>
      <c r="F145" s="217"/>
      <c r="H145" s="216"/>
    </row>
    <row r="146" spans="4:8" s="57" customFormat="1">
      <c r="D146" s="216"/>
      <c r="F146" s="217"/>
      <c r="H146" s="216"/>
    </row>
    <row r="147" spans="4:8" s="57" customFormat="1">
      <c r="D147" s="216"/>
      <c r="F147" s="217"/>
      <c r="H147" s="216"/>
    </row>
    <row r="148" spans="4:8" s="57" customFormat="1">
      <c r="D148" s="216"/>
      <c r="F148" s="217"/>
      <c r="H148" s="216"/>
    </row>
    <row r="149" spans="4:8" s="57" customFormat="1">
      <c r="D149" s="216"/>
      <c r="F149" s="217"/>
      <c r="H149" s="216"/>
    </row>
    <row r="150" spans="4:8" s="57" customFormat="1">
      <c r="D150" s="216"/>
      <c r="F150" s="217"/>
      <c r="H150" s="216"/>
    </row>
    <row r="151" spans="4:8" s="57" customFormat="1">
      <c r="D151" s="216"/>
      <c r="F151" s="217"/>
      <c r="H151" s="216"/>
    </row>
    <row r="152" spans="4:8" s="57" customFormat="1">
      <c r="D152" s="216"/>
      <c r="F152" s="217"/>
      <c r="H152" s="216"/>
    </row>
    <row r="153" spans="4:8" s="57" customFormat="1">
      <c r="D153" s="216"/>
      <c r="F153" s="217"/>
      <c r="H153" s="216"/>
    </row>
  </sheetData>
  <customSheetViews>
    <customSheetView guid="{E00EC0C4-E70A-4D33-A9FE-7CF308F53A5C}" showPageBreaks="1" printArea="1" hiddenColumns="1" showRuler="0" topLeftCell="A52">
      <selection activeCell="D19" sqref="D19"/>
      <pageMargins left="0.75" right="0.75" top="0.34" bottom="0.35" header="0.5" footer="0.2"/>
      <pageSetup orientation="portrait" verticalDpi="0"/>
      <headerFooter alignWithMargins="0"/>
    </customSheetView>
    <customSheetView guid="{DF41C481-38FD-4F9F-AEF1-AE5420249928}" hiddenColumns="1" showRuler="0">
      <selection activeCell="H67" sqref="H67"/>
      <pageMargins left="0.75" right="0.75" top="0.34" bottom="0.35" header="0.5" footer="0.2"/>
      <pageSetup orientation="portrait" verticalDpi="0"/>
      <headerFooter alignWithMargins="0"/>
    </customSheetView>
    <customSheetView guid="{5519EDA0-AC19-11DC-BDFC-0017F2D6B148}" showPageBreaks="1" printArea="1" hiddenColumns="1">
      <selection activeCell="A75" sqref="A75"/>
      <pageMargins left="0.75" right="0.75" top="0.34" bottom="0.35" header="0.5" footer="0.2"/>
      <pageSetup orientation="portrait" verticalDpi="0"/>
      <headerFooter alignWithMargins="0"/>
    </customSheetView>
  </customSheetViews>
  <mergeCells count="16">
    <mergeCell ref="B6:J6"/>
    <mergeCell ref="B2:J2"/>
    <mergeCell ref="B3:J3"/>
    <mergeCell ref="B4:J4"/>
    <mergeCell ref="B5:J5"/>
    <mergeCell ref="M14:Q14"/>
    <mergeCell ref="B8:K8"/>
    <mergeCell ref="B82:J82"/>
    <mergeCell ref="B79:J79"/>
    <mergeCell ref="B81:J81"/>
    <mergeCell ref="M15:R15"/>
    <mergeCell ref="B78:J78"/>
    <mergeCell ref="B63:F63"/>
    <mergeCell ref="B57:D57"/>
    <mergeCell ref="B55:D55"/>
    <mergeCell ref="B56:D56"/>
  </mergeCells>
  <phoneticPr fontId="5" type="noConversion"/>
  <hyperlinks>
    <hyperlink ref="B82:J82" location="CRWWMC" display="Conventional Tillage Winter Wheat Machinery Costs table."/>
  </hyperlinks>
  <printOptions horizontalCentered="1"/>
  <pageMargins left="0.75" right="0.75" top="1" bottom="1" header="0.5" footer="0.2"/>
  <pageSetup orientation="portrait" verticalDpi="1200" r:id="rId1"/>
  <headerFooter alignWithMargins="0">
    <oddFooter>&amp;L&amp;A&amp;C&amp;F&amp;R&amp;D</oddFooter>
  </headerFooter>
  <rowBreaks count="1" manualBreakCount="1">
    <brk id="52" max="16383" man="1"/>
  </rowBreaks>
  <ignoredErrors>
    <ignoredError sqref="J22:J70" emptyCellReference="1"/>
  </ignoredErrors>
</worksheet>
</file>

<file path=xl/worksheets/sheet9.xml><?xml version="1.0" encoding="utf-8"?>
<worksheet xmlns="http://schemas.openxmlformats.org/spreadsheetml/2006/main" xmlns:r="http://schemas.openxmlformats.org/officeDocument/2006/relationships">
  <dimension ref="A1:Z76"/>
  <sheetViews>
    <sheetView zoomScaleNormal="100" workbookViewId="0">
      <selection activeCell="D46" sqref="D46"/>
    </sheetView>
  </sheetViews>
  <sheetFormatPr defaultColWidth="8.7109375" defaultRowHeight="12.75"/>
  <cols>
    <col min="1" max="1" width="4.28515625" style="48" customWidth="1"/>
    <col min="2" max="2" width="11" customWidth="1"/>
    <col min="3" max="3" width="20.140625" customWidth="1"/>
    <col min="4" max="4" width="27.140625" customWidth="1"/>
    <col min="5" max="5" width="40.140625" customWidth="1"/>
    <col min="6" max="26" width="8.7109375" style="48" customWidth="1"/>
  </cols>
  <sheetData>
    <row r="1" spans="2:5">
      <c r="B1" s="48"/>
      <c r="C1" s="48"/>
      <c r="D1" s="48"/>
      <c r="E1" s="48"/>
    </row>
    <row r="2" spans="2:5" ht="30" customHeight="1">
      <c r="B2" s="308" t="s">
        <v>5</v>
      </c>
      <c r="C2" s="338"/>
      <c r="D2" s="338"/>
      <c r="E2" s="338"/>
    </row>
    <row r="3" spans="2:5" ht="6" customHeight="1">
      <c r="B3" s="318"/>
      <c r="C3" s="337"/>
      <c r="D3" s="337"/>
      <c r="E3" s="337"/>
    </row>
    <row r="4" spans="2:5" ht="30" customHeight="1">
      <c r="B4" s="317" t="s">
        <v>143</v>
      </c>
      <c r="C4" s="317" t="s">
        <v>145</v>
      </c>
      <c r="D4" s="317" t="s">
        <v>147</v>
      </c>
      <c r="E4" s="317" t="s">
        <v>148</v>
      </c>
    </row>
    <row r="5" spans="2:5">
      <c r="B5" s="43"/>
      <c r="C5" s="43"/>
      <c r="D5" s="43" t="s">
        <v>228</v>
      </c>
      <c r="E5" s="43"/>
    </row>
    <row r="6" spans="2:5">
      <c r="B6" s="44" t="s">
        <v>85</v>
      </c>
      <c r="C6" s="44" t="s">
        <v>219</v>
      </c>
      <c r="D6" s="44" t="s">
        <v>157</v>
      </c>
      <c r="E6" s="84" t="s">
        <v>68</v>
      </c>
    </row>
    <row r="7" spans="2:5">
      <c r="B7" s="46"/>
      <c r="C7" s="46"/>
      <c r="D7" s="46"/>
      <c r="E7" s="46"/>
    </row>
    <row r="8" spans="2:5">
      <c r="B8" s="10" t="s">
        <v>158</v>
      </c>
      <c r="C8" s="10" t="s">
        <v>159</v>
      </c>
      <c r="D8" s="10"/>
      <c r="E8" s="10"/>
    </row>
    <row r="9" spans="2:5">
      <c r="B9" s="43"/>
      <c r="C9" s="43"/>
      <c r="D9" s="43" t="s">
        <v>228</v>
      </c>
      <c r="E9" s="43"/>
    </row>
    <row r="10" spans="2:5">
      <c r="B10" s="44" t="s">
        <v>86</v>
      </c>
      <c r="C10" s="44" t="s">
        <v>167</v>
      </c>
      <c r="D10" s="44" t="s">
        <v>160</v>
      </c>
      <c r="E10" s="44" t="s">
        <v>291</v>
      </c>
    </row>
    <row r="11" spans="2:5">
      <c r="B11" s="46"/>
      <c r="C11" s="46"/>
      <c r="D11" s="46"/>
      <c r="E11" s="46"/>
    </row>
    <row r="12" spans="2:5">
      <c r="B12" s="10" t="s">
        <v>144</v>
      </c>
      <c r="C12" s="10" t="s">
        <v>149</v>
      </c>
      <c r="D12" s="10" t="s">
        <v>161</v>
      </c>
      <c r="E12" s="10"/>
    </row>
    <row r="13" spans="2:5" ht="15" customHeight="1">
      <c r="B13" s="504" t="s">
        <v>290</v>
      </c>
      <c r="C13" s="505"/>
      <c r="D13" s="505"/>
      <c r="E13" s="505"/>
    </row>
    <row r="14" spans="2:5">
      <c r="B14" s="229"/>
      <c r="C14" s="229"/>
      <c r="D14" s="229"/>
      <c r="E14" s="229"/>
    </row>
    <row r="15" spans="2:5">
      <c r="B15" s="48" t="s">
        <v>131</v>
      </c>
      <c r="C15" s="48"/>
      <c r="D15" s="48"/>
      <c r="E15" s="48"/>
    </row>
    <row r="16" spans="2:5">
      <c r="B16" s="48" t="s">
        <v>226</v>
      </c>
      <c r="C16" s="48" t="s">
        <v>224</v>
      </c>
      <c r="D16" s="48"/>
      <c r="E16" s="48"/>
    </row>
    <row r="17" spans="2:5">
      <c r="B17" s="48" t="s">
        <v>227</v>
      </c>
      <c r="C17" s="48" t="s">
        <v>225</v>
      </c>
      <c r="D17" s="48"/>
      <c r="E17" s="48"/>
    </row>
    <row r="18" spans="2:5">
      <c r="B18" s="48"/>
      <c r="C18" s="48"/>
      <c r="D18" s="48"/>
      <c r="E18" s="48"/>
    </row>
    <row r="19" spans="2:5">
      <c r="B19" s="48"/>
      <c r="C19" s="48"/>
      <c r="D19" s="48"/>
      <c r="E19" s="48"/>
    </row>
    <row r="20" spans="2:5">
      <c r="B20" s="48"/>
      <c r="C20" s="48"/>
      <c r="D20" s="48"/>
      <c r="E20" s="48"/>
    </row>
    <row r="21" spans="2:5">
      <c r="B21" s="48"/>
      <c r="C21" s="48"/>
      <c r="D21" s="48"/>
      <c r="E21" s="48"/>
    </row>
    <row r="22" spans="2:5">
      <c r="B22" s="48"/>
      <c r="C22" s="48"/>
      <c r="D22" s="48"/>
      <c r="E22" s="48"/>
    </row>
    <row r="23" spans="2:5">
      <c r="B23" s="48"/>
      <c r="C23" s="48"/>
      <c r="D23" s="48"/>
      <c r="E23" s="48"/>
    </row>
    <row r="24" spans="2:5">
      <c r="B24" s="48"/>
      <c r="C24" s="48"/>
      <c r="D24" s="48"/>
      <c r="E24" s="48"/>
    </row>
    <row r="25" spans="2:5">
      <c r="B25" s="48"/>
      <c r="C25" s="48"/>
      <c r="D25" s="48"/>
      <c r="E25" s="48"/>
    </row>
    <row r="26" spans="2:5">
      <c r="B26" s="48"/>
      <c r="C26" s="48"/>
      <c r="D26" s="48"/>
      <c r="E26" s="48"/>
    </row>
    <row r="27" spans="2:5">
      <c r="B27" s="48"/>
      <c r="C27" s="48"/>
      <c r="D27" s="48"/>
      <c r="E27" s="48"/>
    </row>
    <row r="28" spans="2:5">
      <c r="B28" s="48"/>
      <c r="C28" s="48"/>
      <c r="D28" s="48"/>
      <c r="E28" s="48"/>
    </row>
    <row r="29" spans="2:5">
      <c r="B29" s="48"/>
      <c r="C29" s="48"/>
      <c r="D29" s="48"/>
      <c r="E29" s="48"/>
    </row>
    <row r="30" spans="2:5">
      <c r="B30" s="48"/>
      <c r="C30" s="48"/>
      <c r="D30" s="48"/>
      <c r="E30" s="48"/>
    </row>
    <row r="31" spans="2:5">
      <c r="B31" s="48"/>
      <c r="C31" s="48"/>
      <c r="D31" s="48"/>
      <c r="E31" s="48"/>
    </row>
    <row r="32" spans="2:5">
      <c r="B32" s="48"/>
      <c r="C32" s="48"/>
      <c r="D32" s="48"/>
      <c r="E32" s="48"/>
    </row>
    <row r="33" s="48" customFormat="1"/>
    <row r="34" s="48" customFormat="1"/>
    <row r="35" s="48" customFormat="1"/>
    <row r="36" s="48" customFormat="1"/>
    <row r="37" s="48" customFormat="1"/>
    <row r="38" s="48" customFormat="1"/>
    <row r="39" s="48" customFormat="1"/>
    <row r="40" s="48" customFormat="1"/>
    <row r="41" s="48" customFormat="1"/>
    <row r="42" s="48" customFormat="1"/>
    <row r="43" s="48" customFormat="1"/>
    <row r="44" s="48" customFormat="1"/>
    <row r="45" s="48" customFormat="1"/>
    <row r="46" s="48" customFormat="1"/>
    <row r="47" s="48" customFormat="1"/>
    <row r="48"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sheetData>
  <customSheetViews>
    <customSheetView guid="{E00EC0C4-E70A-4D33-A9FE-7CF308F53A5C}" showRuler="0">
      <selection activeCell="B15" sqref="B15"/>
      <pageMargins left="0.75" right="0.75" top="1" bottom="1" header="0.5" footer="0.5"/>
      <pageSetup orientation="portrait" verticalDpi="0"/>
      <headerFooter alignWithMargins="0"/>
    </customSheetView>
    <customSheetView guid="{DF41C481-38FD-4F9F-AEF1-AE5420249928}" showRuler="0" topLeftCell="A21">
      <selection activeCell="A33" sqref="A33:IV129"/>
      <pageMargins left="0.75" right="0.75" top="1" bottom="1" header="0.5" footer="0.5"/>
      <pageSetup orientation="portrait" verticalDpi="0"/>
      <headerFooter alignWithMargins="0"/>
    </customSheetView>
    <customSheetView guid="{5519EDA0-AC19-11DC-BDFC-0017F2D6B148}">
      <selection activeCell="E15" sqref="E15"/>
      <pageMargins left="0.75" right="0.75" top="1" bottom="1" header="0.5" footer="0.5"/>
      <pageSetup orientation="portrait" verticalDpi="0"/>
      <headerFooter alignWithMargins="0"/>
    </customSheetView>
  </customSheetViews>
  <mergeCells count="1">
    <mergeCell ref="B13:E13"/>
  </mergeCells>
  <phoneticPr fontId="5" type="noConversion"/>
  <printOptions horizontalCentered="1"/>
  <pageMargins left="0.75" right="0.75" top="1" bottom="1" header="0.5" footer="0.5"/>
  <pageSetup scale="85" orientation="portrait" verticalDpi="1200"/>
  <headerFooter alignWithMargins="0">
    <oddFooter>&amp;L&amp;A&amp;C&amp;F&amp;R&amp;D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43</vt:i4>
      </vt:variant>
    </vt:vector>
  </HeadingPairs>
  <TitlesOfParts>
    <vt:vector size="58" baseType="lpstr">
      <vt:lpstr>Title Page</vt:lpstr>
      <vt:lpstr>Instructions</vt:lpstr>
      <vt:lpstr>Summary</vt:lpstr>
      <vt:lpstr>Graphs</vt:lpstr>
      <vt:lpstr>Input Prices</vt:lpstr>
      <vt:lpstr>Summer Fallow</vt:lpstr>
      <vt:lpstr>SF Calendar</vt:lpstr>
      <vt:lpstr>CT Winter Wheat</vt:lpstr>
      <vt:lpstr>CT WW Calendar</vt:lpstr>
      <vt:lpstr>Chem Fallow</vt:lpstr>
      <vt:lpstr>CF Calendar</vt:lpstr>
      <vt:lpstr>RT Winter Wheat</vt:lpstr>
      <vt:lpstr>RT WW Calendar</vt:lpstr>
      <vt:lpstr>Machinery Complement</vt:lpstr>
      <vt:lpstr>Machinery Cost</vt:lpstr>
      <vt:lpstr>cashrent</vt:lpstr>
      <vt:lpstr>CFMC</vt:lpstr>
      <vt:lpstr>CRWWMC</vt:lpstr>
      <vt:lpstr>Diesel</vt:lpstr>
      <vt:lpstr>DPesticide</vt:lpstr>
      <vt:lpstr>Excel</vt:lpstr>
      <vt:lpstr>FertilizerApplicator</vt:lpstr>
      <vt:lpstr>Gas</vt:lpstr>
      <vt:lpstr>HourlyMachineLabor</vt:lpstr>
      <vt:lpstr>landtax</vt:lpstr>
      <vt:lpstr>Maverick</vt:lpstr>
      <vt:lpstr>Nitrogen</vt:lpstr>
      <vt:lpstr>OperShare</vt:lpstr>
      <vt:lpstr>OpShare</vt:lpstr>
      <vt:lpstr>OwnerShare</vt:lpstr>
      <vt:lpstr>OwnShare</vt:lpstr>
      <vt:lpstr>Phosphorous</vt:lpstr>
      <vt:lpstr>'CF Calendar'!Print_Area</vt:lpstr>
      <vt:lpstr>'Chem Fallow'!Print_Area</vt:lpstr>
      <vt:lpstr>'CT Winter Wheat'!Print_Area</vt:lpstr>
      <vt:lpstr>'CT WW Calendar'!Print_Area</vt:lpstr>
      <vt:lpstr>Graphs!Print_Area</vt:lpstr>
      <vt:lpstr>'Input Prices'!Print_Area</vt:lpstr>
      <vt:lpstr>Instructions!Print_Area</vt:lpstr>
      <vt:lpstr>'Machinery Complement'!Print_Area</vt:lpstr>
      <vt:lpstr>'Machinery Cost'!Print_Area</vt:lpstr>
      <vt:lpstr>'RT Winter Wheat'!Print_Area</vt:lpstr>
      <vt:lpstr>'RT WW Calendar'!Print_Area</vt:lpstr>
      <vt:lpstr>'SF Calendar'!Print_Area</vt:lpstr>
      <vt:lpstr>Summary!Print_Area</vt:lpstr>
      <vt:lpstr>'Summer Fallow'!Print_Area</vt:lpstr>
      <vt:lpstr>'Title Page'!Print_Area</vt:lpstr>
      <vt:lpstr>'CT Winter Wheat'!Print_Titles</vt:lpstr>
      <vt:lpstr>'RT Winter Wheat'!Print_Titles</vt:lpstr>
      <vt:lpstr>RentalSprayer</vt:lpstr>
      <vt:lpstr>Roundup</vt:lpstr>
      <vt:lpstr>RTWW</vt:lpstr>
      <vt:lpstr>RTWWMC</vt:lpstr>
      <vt:lpstr>SF</vt:lpstr>
      <vt:lpstr>SFMC</vt:lpstr>
      <vt:lpstr>Sulfur</vt:lpstr>
      <vt:lpstr>UltraPro</vt:lpstr>
      <vt:lpstr>WheatSeed</vt:lpstr>
    </vt:vector>
  </TitlesOfParts>
  <Company>WSU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Painter</dc:creator>
  <cp:lastModifiedBy>Kate Painter</cp:lastModifiedBy>
  <cp:lastPrinted>2009-07-15T20:44:48Z</cp:lastPrinted>
  <dcterms:created xsi:type="dcterms:W3CDTF">2006-03-07T19:12:45Z</dcterms:created>
  <dcterms:modified xsi:type="dcterms:W3CDTF">2009-07-15T22:16:42Z</dcterms:modified>
</cp:coreProperties>
</file>