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Default Extension="wmf" ContentType="image/x-wmf"/>
  <Override PartName="/xl/vbaProject.bin" ContentType="application/vnd.ms-office.vbaProject"/>
  <Default Extension="rels" ContentType="application/vnd.openxmlformats-package.relationships+xml"/>
  <Default Extension="xml" ContentType="application/xml"/>
  <Override PartName="/xl/workbook.xml" ContentType="application/vnd.ms-excel.sheet.macroEnabled.main+xml"/>
  <Override PartName="/xl/worksheets/sheet4.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codeName="{6D7BE3D0-9255-6837-6703-DDC3ED590948}"/>
  <workbookPr codeName="ThisWorkbook"/>
  <bookViews>
    <workbookView xWindow="0" yWindow="255" windowWidth="15600" windowHeight="7110" activeTab="1"/>
  </bookViews>
  <sheets>
    <sheet name="Example" sheetId="8" r:id="rId1"/>
    <sheet name="Blank" sheetId="11" r:id="rId2"/>
    <sheet name="MachComp" sheetId="12" r:id="rId3"/>
    <sheet name="Data" sheetId="1" r:id="rId4"/>
  </sheets>
  <definedNames>
    <definedName name="_xlnm.Print_Area" localSheetId="1">Blank!$C$1:$K$51</definedName>
    <definedName name="_xlnm.Print_Area" localSheetId="3">Data!$C$1:$K$46</definedName>
    <definedName name="_xlnm.Print_Area" localSheetId="0">Example!$C$1:$K$50</definedName>
  </definedNames>
  <calcPr calcId="125725"/>
</workbook>
</file>

<file path=xl/calcChain.xml><?xml version="1.0" encoding="utf-8"?>
<calcChain xmlns="http://schemas.openxmlformats.org/spreadsheetml/2006/main">
  <c r="K40" i="11"/>
  <c r="H9" i="12"/>
  <c r="H3" s="1"/>
  <c r="G9"/>
  <c r="G3" s="1"/>
  <c r="F9"/>
  <c r="F3" s="1"/>
  <c r="E9"/>
  <c r="E3" s="1"/>
  <c r="D9"/>
  <c r="F35" i="11"/>
  <c r="G35" s="1"/>
  <c r="G38" s="1"/>
  <c r="F34" i="8"/>
  <c r="F37" s="1"/>
  <c r="D26" i="11"/>
  <c r="F26"/>
  <c r="F27" s="1"/>
  <c r="D27"/>
  <c r="D30" s="1"/>
  <c r="F30"/>
  <c r="G30" s="1"/>
  <c r="G32" s="1"/>
  <c r="D31"/>
  <c r="E31"/>
  <c r="F31"/>
  <c r="G31"/>
  <c r="H31"/>
  <c r="I31"/>
  <c r="D35"/>
  <c r="E35" s="1"/>
  <c r="D36"/>
  <c r="E36"/>
  <c r="H36"/>
  <c r="I36"/>
  <c r="D37"/>
  <c r="E37"/>
  <c r="H37"/>
  <c r="I37"/>
  <c r="C46"/>
  <c r="F25" i="8"/>
  <c r="F26" s="1"/>
  <c r="F29" s="1"/>
  <c r="D34"/>
  <c r="E34" s="1"/>
  <c r="D25"/>
  <c r="D26" s="1"/>
  <c r="D29" s="1"/>
  <c r="F30"/>
  <c r="D36"/>
  <c r="H36"/>
  <c r="D35"/>
  <c r="H35"/>
  <c r="D30"/>
  <c r="H30" s="1"/>
  <c r="G30"/>
  <c r="C45"/>
  <c r="E36"/>
  <c r="I36" s="1"/>
  <c r="E35"/>
  <c r="I35"/>
  <c r="E30"/>
  <c r="I30" s="1"/>
  <c r="F38" i="11" l="1"/>
  <c r="G40"/>
  <c r="G34" i="8"/>
  <c r="G37" s="1"/>
  <c r="G29"/>
  <c r="G31" s="1"/>
  <c r="F31"/>
  <c r="F39" s="1"/>
  <c r="E37"/>
  <c r="I34"/>
  <c r="E29"/>
  <c r="D31"/>
  <c r="H29"/>
  <c r="H31" s="1"/>
  <c r="D37"/>
  <c r="H34"/>
  <c r="H37" s="1"/>
  <c r="I35" i="11"/>
  <c r="F32"/>
  <c r="F40" s="1"/>
  <c r="E30"/>
  <c r="I30" s="1"/>
  <c r="D32"/>
  <c r="H30"/>
  <c r="H32" s="1"/>
  <c r="H35"/>
  <c r="H38" s="1"/>
  <c r="D38"/>
  <c r="E38"/>
  <c r="I38" s="1"/>
  <c r="D3" i="12"/>
  <c r="E32" i="11" l="1"/>
  <c r="I37" i="8"/>
  <c r="G39"/>
  <c r="H39"/>
  <c r="I29"/>
  <c r="E31"/>
  <c r="D39"/>
  <c r="H40" i="11"/>
  <c r="D40"/>
  <c r="I32" l="1"/>
  <c r="I40" s="1"/>
  <c r="E40"/>
  <c r="I31" i="8"/>
  <c r="I39" s="1"/>
  <c r="E39"/>
</calcChain>
</file>

<file path=xl/comments1.xml><?xml version="1.0" encoding="utf-8"?>
<comments xmlns="http://schemas.openxmlformats.org/spreadsheetml/2006/main">
  <authors>
    <author>Economics Department</author>
    <author>William Edwards</author>
  </authors>
  <commentList>
    <comment ref="C5" authorId="0">
      <text>
        <r>
          <rPr>
            <sz val="8"/>
            <color indexed="81"/>
            <rFont val="Tahoma"/>
            <family val="2"/>
          </rPr>
          <t>Place the cursor over cells with red 
triangles to read comments.</t>
        </r>
      </text>
    </comment>
    <comment ref="C10" authorId="0">
      <text>
        <r>
          <rPr>
            <sz val="8"/>
            <color indexed="81"/>
            <rFont val="Tahoma"/>
            <family val="2"/>
          </rPr>
          <t>Click on machinery type in menu</t>
        </r>
      </text>
    </comment>
    <comment ref="D26" authorId="1">
      <text>
        <r>
          <rPr>
            <sz val="8"/>
            <color indexed="81"/>
            <rFont val="Tahoma"/>
            <family val="2"/>
          </rPr>
          <t>Based on current list price, 
current value, age, and 
annual hours of use.</t>
        </r>
      </text>
    </comment>
    <comment ref="F26" authorId="1">
      <text>
        <r>
          <rPr>
            <sz val="8"/>
            <color indexed="81"/>
            <rFont val="Tahoma"/>
            <family val="2"/>
          </rPr>
          <t>Based on current list 
price, current value, 
and age.</t>
        </r>
      </text>
    </comment>
    <comment ref="D29" authorId="1">
      <text>
        <r>
          <rPr>
            <sz val="8"/>
            <color indexed="81"/>
            <rFont val="Tahoma"/>
            <family val="2"/>
          </rPr>
          <t>Annual dollars needed to 
recover depreciation and 
interest on investment.</t>
        </r>
      </text>
    </comment>
    <comment ref="F29" authorId="1">
      <text>
        <r>
          <rPr>
            <sz val="8"/>
            <color indexed="81"/>
            <rFont val="Tahoma"/>
            <family val="2"/>
          </rPr>
          <t>Annual dollars needed to 
recover depreciation and
interest on investment.</t>
        </r>
      </text>
    </comment>
    <comment ref="H29" authorId="1">
      <text>
        <r>
          <rPr>
            <sz val="8"/>
            <color indexed="81"/>
            <rFont val="Tahoma"/>
            <family val="2"/>
          </rPr>
          <t>Includes power unit costs
only for the hours it is 
used with this implement 
or attachment.</t>
        </r>
      </text>
    </comment>
    <comment ref="D30" authorId="1">
      <text>
        <r>
          <rPr>
            <sz val="8"/>
            <color indexed="81"/>
            <rFont val="Tahoma"/>
            <family val="2"/>
          </rPr>
          <t>Estimated at 1% of current value.</t>
        </r>
      </text>
    </comment>
    <comment ref="F30" authorId="1">
      <text>
        <r>
          <rPr>
            <sz val="8"/>
            <color indexed="81"/>
            <rFont val="Tahoma"/>
            <family val="2"/>
          </rPr>
          <t>Estimated at 1% of current value.</t>
        </r>
      </text>
    </comment>
    <comment ref="H30" authorId="1">
      <text>
        <r>
          <rPr>
            <sz val="8"/>
            <color indexed="81"/>
            <rFont val="Tahoma"/>
            <family val="2"/>
          </rPr>
          <t>Includes power unit costs
only for the hours it is 
used with this implement 
or attachment.</t>
        </r>
      </text>
    </comment>
    <comment ref="D34" authorId="1">
      <text>
        <r>
          <rPr>
            <sz val="8"/>
            <color indexed="81"/>
            <rFont val="Tahoma"/>
            <family val="2"/>
          </rPr>
          <t>Based on current list 
price and hours of 
annual use, or user's input.</t>
        </r>
      </text>
    </comment>
    <comment ref="F34" authorId="1">
      <text>
        <r>
          <rPr>
            <sz val="8"/>
            <color indexed="81"/>
            <rFont val="Tahoma"/>
            <family val="2"/>
          </rPr>
          <t>Based on current list price 
and hours of annual use, 
or user's input.</t>
        </r>
      </text>
    </comment>
    <comment ref="H34" authorId="1">
      <text>
        <r>
          <rPr>
            <sz val="8"/>
            <color indexed="81"/>
            <rFont val="Tahoma"/>
            <family val="2"/>
          </rPr>
          <t>Includes power unit costs 
only for the hours it is used 
with this implement or attachment.</t>
        </r>
      </text>
    </comment>
    <comment ref="D35" authorId="1">
      <text>
        <r>
          <rPr>
            <sz val="8"/>
            <color indexed="81"/>
            <rFont val="Tahoma"/>
            <family val="2"/>
          </rPr>
          <t>Based on fuel 
consumption of .044 
gallons of diesel fuel per 
horsepower per hour, 
plus 15% for lubricants.</t>
        </r>
      </text>
    </comment>
    <comment ref="H35" authorId="1">
      <text>
        <r>
          <rPr>
            <sz val="8"/>
            <color indexed="81"/>
            <rFont val="Tahoma"/>
            <family val="2"/>
          </rPr>
          <t>Includes power unit costs 
only for the hours it is used 
with this implement or attachment.</t>
        </r>
      </text>
    </comment>
    <comment ref="D36" authorId="1">
      <text>
        <r>
          <rPr>
            <sz val="8"/>
            <color indexed="81"/>
            <rFont val="Tahoma"/>
            <family val="2"/>
          </rPr>
          <t>10% is added to the 
labor cost for transporting 
and adjusting machinery.</t>
        </r>
      </text>
    </comment>
    <comment ref="H36" authorId="1">
      <text>
        <r>
          <rPr>
            <sz val="8"/>
            <color indexed="81"/>
            <rFont val="Tahoma"/>
            <family val="2"/>
          </rPr>
          <t>Includes power unit costs 
only for the hours it is used 
with this implement or attachment.</t>
        </r>
      </text>
    </comment>
  </commentList>
</comments>
</file>

<file path=xl/comments2.xml><?xml version="1.0" encoding="utf-8"?>
<comments xmlns="http://schemas.openxmlformats.org/spreadsheetml/2006/main">
  <authors>
    <author>Economics Department</author>
    <author>William Edwards</author>
  </authors>
  <commentList>
    <comment ref="C5" authorId="0">
      <text>
        <r>
          <rPr>
            <sz val="8"/>
            <color indexed="81"/>
            <rFont val="Tahoma"/>
            <family val="2"/>
          </rPr>
          <t>Place the cursor over cells with red 
triangles to read comments.</t>
        </r>
      </text>
    </comment>
    <comment ref="C11" authorId="0">
      <text>
        <r>
          <rPr>
            <sz val="8"/>
            <color indexed="81"/>
            <rFont val="Tahoma"/>
            <family val="2"/>
          </rPr>
          <t>Click on machinery type in menu</t>
        </r>
      </text>
    </comment>
    <comment ref="D27" authorId="1">
      <text>
        <r>
          <rPr>
            <sz val="8"/>
            <color indexed="81"/>
            <rFont val="Tahoma"/>
            <family val="2"/>
          </rPr>
          <t>Based on current list price, 
current value, age, and 
annual hours of use.</t>
        </r>
      </text>
    </comment>
    <comment ref="F27" authorId="1">
      <text>
        <r>
          <rPr>
            <sz val="8"/>
            <color indexed="81"/>
            <rFont val="Tahoma"/>
            <family val="2"/>
          </rPr>
          <t>Based on current list 
price, current value, 
and age.</t>
        </r>
      </text>
    </comment>
    <comment ref="D30" authorId="1">
      <text>
        <r>
          <rPr>
            <sz val="8"/>
            <color indexed="81"/>
            <rFont val="Tahoma"/>
            <family val="2"/>
          </rPr>
          <t>Annual dollars needed to 
recover depreciation and 
interest on investment.</t>
        </r>
      </text>
    </comment>
    <comment ref="F30" authorId="1">
      <text>
        <r>
          <rPr>
            <sz val="8"/>
            <color indexed="81"/>
            <rFont val="Tahoma"/>
            <family val="2"/>
          </rPr>
          <t>Annual dollars needed to 
recover depreciation and
interest on investment.</t>
        </r>
      </text>
    </comment>
    <comment ref="H30" authorId="1">
      <text>
        <r>
          <rPr>
            <sz val="8"/>
            <color indexed="81"/>
            <rFont val="Tahoma"/>
            <family val="2"/>
          </rPr>
          <t>Includes power unit costs
only for the hours it is 
used with this implement 
or attachment.</t>
        </r>
      </text>
    </comment>
    <comment ref="D31" authorId="1">
      <text>
        <r>
          <rPr>
            <sz val="8"/>
            <color indexed="81"/>
            <rFont val="Tahoma"/>
            <family val="2"/>
          </rPr>
          <t>Estimated at 1% of current value.</t>
        </r>
      </text>
    </comment>
    <comment ref="F31" authorId="1">
      <text>
        <r>
          <rPr>
            <sz val="8"/>
            <color indexed="81"/>
            <rFont val="Tahoma"/>
            <family val="2"/>
          </rPr>
          <t>Estimated at 1% of current value.</t>
        </r>
      </text>
    </comment>
    <comment ref="H31" authorId="1">
      <text>
        <r>
          <rPr>
            <sz val="8"/>
            <color indexed="81"/>
            <rFont val="Tahoma"/>
            <family val="2"/>
          </rPr>
          <t>Includes power unit costs
only for the hours it is 
used with this implement 
or attachment.</t>
        </r>
      </text>
    </comment>
    <comment ref="D35" authorId="1">
      <text>
        <r>
          <rPr>
            <sz val="8"/>
            <color indexed="81"/>
            <rFont val="Tahoma"/>
            <family val="2"/>
          </rPr>
          <t>Based on current list 
price and hours of 
annual use, or user's input.</t>
        </r>
      </text>
    </comment>
    <comment ref="F35" authorId="1">
      <text>
        <r>
          <rPr>
            <sz val="8"/>
            <color indexed="81"/>
            <rFont val="Tahoma"/>
            <family val="2"/>
          </rPr>
          <t>Based on current list price 
and hours of annual use, 
or user's input.</t>
        </r>
      </text>
    </comment>
    <comment ref="H35" authorId="1">
      <text>
        <r>
          <rPr>
            <sz val="8"/>
            <color indexed="81"/>
            <rFont val="Tahoma"/>
            <family val="2"/>
          </rPr>
          <t>Includes power unit costs 
only for the hours it is used 
with this implement or attachment.</t>
        </r>
      </text>
    </comment>
    <comment ref="D36" authorId="1">
      <text>
        <r>
          <rPr>
            <sz val="8"/>
            <color indexed="81"/>
            <rFont val="Tahoma"/>
            <family val="2"/>
          </rPr>
          <t>Based on fuel 
consumption of .044 
gallons of diesel fuel per 
horsepower per hour, 
plus 15% for lubricants.</t>
        </r>
      </text>
    </comment>
    <comment ref="H36" authorId="1">
      <text>
        <r>
          <rPr>
            <sz val="8"/>
            <color indexed="81"/>
            <rFont val="Tahoma"/>
            <family val="2"/>
          </rPr>
          <t>Includes power unit costs 
only for the hours it is used 
with this implement or attachment.</t>
        </r>
      </text>
    </comment>
    <comment ref="D37" authorId="1">
      <text>
        <r>
          <rPr>
            <sz val="8"/>
            <color indexed="81"/>
            <rFont val="Tahoma"/>
            <family val="2"/>
          </rPr>
          <t>10% is added to the 
labor cost for transporting 
and adjusting machinery.</t>
        </r>
      </text>
    </comment>
    <comment ref="H37" authorId="1">
      <text>
        <r>
          <rPr>
            <sz val="8"/>
            <color indexed="81"/>
            <rFont val="Tahoma"/>
            <family val="2"/>
          </rPr>
          <t>Includes power unit costs 
only for the hours it is used 
with this implement or attachment.</t>
        </r>
      </text>
    </comment>
  </commentList>
</comments>
</file>

<file path=xl/sharedStrings.xml><?xml version="1.0" encoding="utf-8"?>
<sst xmlns="http://schemas.openxmlformats.org/spreadsheetml/2006/main" count="195" uniqueCount="118">
  <si>
    <t>Machinery Type Numbers and Constant Values</t>
  </si>
  <si>
    <t>Type no.</t>
  </si>
  <si>
    <t xml:space="preserve">     Description</t>
  </si>
  <si>
    <t>RC1</t>
  </si>
  <si>
    <t>RC2</t>
  </si>
  <si>
    <t>HWOL</t>
  </si>
  <si>
    <t>intercept</t>
  </si>
  <si>
    <t>agecoeff</t>
  </si>
  <si>
    <t>hrscoeff</t>
  </si>
  <si>
    <t>Moldboard plow</t>
  </si>
  <si>
    <t>Disk</t>
  </si>
  <si>
    <t>Cultivator</t>
  </si>
  <si>
    <t>Roller, mulcher</t>
  </si>
  <si>
    <t>Rotary tiller</t>
  </si>
  <si>
    <t>Corn picker</t>
  </si>
  <si>
    <t>Rake</t>
  </si>
  <si>
    <t>Fert. spreader</t>
  </si>
  <si>
    <t>Repair Cost Factors</t>
  </si>
  <si>
    <t>Remaining value factors</t>
  </si>
  <si>
    <t>Field cultivator</t>
  </si>
  <si>
    <t>Harrow</t>
  </si>
  <si>
    <t>Rotary hoe</t>
  </si>
  <si>
    <t>Planter,grain drill</t>
  </si>
  <si>
    <t>Combine head</t>
  </si>
  <si>
    <t>Combine SP unit</t>
  </si>
  <si>
    <t>Mower-conditioner</t>
  </si>
  <si>
    <t>Round baler</t>
  </si>
  <si>
    <t>Windrower</t>
  </si>
  <si>
    <t>Sprayer</t>
  </si>
  <si>
    <t>Forage wagon</t>
  </si>
  <si>
    <t>Grain wagon</t>
  </si>
  <si>
    <t>Skid-steer loader</t>
  </si>
  <si>
    <t>SP sprayer</t>
  </si>
  <si>
    <t>SP forage harvester</t>
  </si>
  <si>
    <t>SP windrower</t>
  </si>
  <si>
    <t>Forage harvester-pull</t>
  </si>
  <si>
    <t>Type of machine</t>
  </si>
  <si>
    <t>Power Unit</t>
  </si>
  <si>
    <t>Current list price of comparable machine (new)</t>
  </si>
  <si>
    <t>Years of ownership remaining</t>
  </si>
  <si>
    <t>Interest rate</t>
  </si>
  <si>
    <t>Field capacity in acres or tons per hour</t>
  </si>
  <si>
    <t>Engine horsepower</t>
  </si>
  <si>
    <t>Capital recovery (interest and depreciation)</t>
  </si>
  <si>
    <t>Total ownership cost</t>
  </si>
  <si>
    <t>Operating Costs</t>
  </si>
  <si>
    <t xml:space="preserve">Annual use </t>
  </si>
  <si>
    <t>hours</t>
  </si>
  <si>
    <t>years</t>
  </si>
  <si>
    <t>hp</t>
  </si>
  <si>
    <t>/gal.</t>
  </si>
  <si>
    <t>/hour</t>
  </si>
  <si>
    <t>Combination</t>
  </si>
  <si>
    <t>Fuel and lubrication cost</t>
  </si>
  <si>
    <t>$/acre</t>
  </si>
  <si>
    <t>$/year</t>
  </si>
  <si>
    <t>Implement or Attachment</t>
  </si>
  <si>
    <t xml:space="preserve">Total operating cost </t>
  </si>
  <si>
    <t>Taxes, insurance and housing</t>
  </si>
  <si>
    <t>Ownership Costs</t>
  </si>
  <si>
    <t>Total Ownership plus Operating Costs</t>
  </si>
  <si>
    <t xml:space="preserve">Repair cost </t>
  </si>
  <si>
    <t xml:space="preserve">Labor cost </t>
  </si>
  <si>
    <t>%</t>
  </si>
  <si>
    <t>Chisel plow, subsoiler</t>
  </si>
  <si>
    <t xml:space="preserve"> </t>
  </si>
  <si>
    <t>Machinery Cost Calculator</t>
  </si>
  <si>
    <t>Ag Decision Maker -- Iowa State University Extension</t>
  </si>
  <si>
    <t>Author: William Edwards</t>
  </si>
  <si>
    <t>. . . and justice for all</t>
  </si>
  <si>
    <t>The U.S. Department of Agriculture (USDA) prohibits discrimination in all its programs and activities on the basis of race, color, national origin, gender, religion, age, disability, political beliefs, sexual orientation, and marital or family status. (Not all prohibited bases apply to all programs.) Many materials can be made available in alternative formats for ADA clients. To file a complaint of discrimination, write USDA, Office of Civil Rights, Room 326-W, Whitten Building, 14th and Independence Avenue, SW, Washington, DC 20250-9410 or call 202-720-5964.</t>
  </si>
  <si>
    <t>Enter your input values in shaded cells.</t>
  </si>
  <si>
    <t>Date Printed:</t>
  </si>
  <si>
    <t>Input Data</t>
  </si>
  <si>
    <t>Accumulated hours of use</t>
  </si>
  <si>
    <t>Current age</t>
  </si>
  <si>
    <t>Place the cursor over cells with red triangles to read comments.</t>
  </si>
  <si>
    <t>Current value of machine</t>
  </si>
  <si>
    <t>Issued in furtherance of Cooperative Extension work, Acts of May 8 and June 30, 1914, in cooperation with the U.S. Department of Agriculture. Jack M. Payne, director, Cooperative Extension Service, Iowa State University of Science and Technology, Ames, Iowa.</t>
  </si>
  <si>
    <r>
      <t xml:space="preserve">For more Information, see Information File A3-29 </t>
    </r>
    <r>
      <rPr>
        <u/>
        <sz val="10"/>
        <color indexed="45"/>
        <rFont val="Arial"/>
        <family val="2"/>
      </rPr>
      <t>Estimating Farm Machinery Costs.</t>
    </r>
  </si>
  <si>
    <t>Power Unit Alone</t>
  </si>
  <si>
    <t>Estimated value at end of the ownership period</t>
  </si>
  <si>
    <t>Price of diesel fuel</t>
  </si>
  <si>
    <t>(leave blank to use calculator estimate)</t>
  </si>
  <si>
    <t>acres or tons</t>
  </si>
  <si>
    <t>Version 1.2</t>
  </si>
  <si>
    <t>Wage or labor value for machine operator</t>
  </si>
  <si>
    <t>Hours</t>
  </si>
  <si>
    <t>Wearout</t>
  </si>
  <si>
    <t>SP cotton picker</t>
  </si>
  <si>
    <t>Mower (sickle bar)</t>
  </si>
  <si>
    <t>Mower (rotary)</t>
  </si>
  <si>
    <t>Small square baler</t>
  </si>
  <si>
    <t>Large square baler</t>
  </si>
  <si>
    <t>Sugar beet harvester</t>
  </si>
  <si>
    <t>Potato harvester</t>
  </si>
  <si>
    <t>Source: American Society of Agricultural and Biological Engineers Standards</t>
  </si>
  <si>
    <t>Combine repair cost coefficients were adjusted based on recent survey data.</t>
  </si>
  <si>
    <t>Tractor, 4-wheel drive</t>
  </si>
  <si>
    <t>Tractor, under 80 hp, 2wd</t>
  </si>
  <si>
    <t>Tractor 80-150 hp, 2wd</t>
  </si>
  <si>
    <t>Tractor over 150 hp, 2wd</t>
  </si>
  <si>
    <t>Annual repair and maintenance costs</t>
  </si>
  <si>
    <t>Includes power unit costs only for the hours used with this implement or attachment.</t>
  </si>
  <si>
    <t>Manure handling equipment</t>
  </si>
  <si>
    <t>Feed grinders and mixers</t>
  </si>
  <si>
    <t>Implement</t>
  </si>
  <si>
    <t>Repair</t>
  </si>
  <si>
    <t>Fuel &amp; Lube</t>
  </si>
  <si>
    <t>Labor</t>
  </si>
  <si>
    <t>Capital Recovery</t>
  </si>
  <si>
    <t>THI</t>
  </si>
  <si>
    <t>Machinery Complement</t>
  </si>
  <si>
    <t>Totals</t>
  </si>
  <si>
    <t>Total</t>
  </si>
  <si>
    <t>This example shows how you must enter the annual use and field capacity for a self-propelled implement.</t>
  </si>
  <si>
    <t>If you click Add Operation, your output will be saved in the MachComp tab. This way you can save data for many machines.</t>
  </si>
  <si>
    <t>Ag Decision Maker -- Iowa State University Extension (with additional features written by Leroy Stodick.)</t>
  </si>
</sst>
</file>

<file path=xl/styles.xml><?xml version="1.0" encoding="utf-8"?>
<styleSheet xmlns="http://schemas.openxmlformats.org/spreadsheetml/2006/main">
  <numFmts count="7">
    <numFmt numFmtId="43" formatCode="_(* #,##0.00_);_(* \(#,##0.00\);_(* &quot;-&quot;??_);_(@_)"/>
    <numFmt numFmtId="164" formatCode="General_)"/>
    <numFmt numFmtId="165" formatCode="0.000_)"/>
    <numFmt numFmtId="166" formatCode="0.0_)"/>
    <numFmt numFmtId="167" formatCode="&quot;$&quot;#,##0"/>
    <numFmt numFmtId="168" formatCode="&quot;$&quot;#,##0.00"/>
    <numFmt numFmtId="169" formatCode="_(* #,##0_);_(* \(#,##0\);_(* &quot;-&quot;??_);_(@_)"/>
  </numFmts>
  <fonts count="23">
    <font>
      <sz val="10"/>
      <name val="Arial"/>
    </font>
    <font>
      <sz val="10"/>
      <name val="Arial"/>
      <family val="2"/>
    </font>
    <font>
      <b/>
      <sz val="10"/>
      <name val="Arial"/>
      <family val="2"/>
    </font>
    <font>
      <b/>
      <sz val="12"/>
      <name val="Arial"/>
      <family val="2"/>
    </font>
    <font>
      <sz val="10"/>
      <name val="Arial"/>
      <family val="2"/>
    </font>
    <font>
      <b/>
      <sz val="10"/>
      <name val="Arial"/>
      <family val="2"/>
    </font>
    <font>
      <b/>
      <u/>
      <sz val="10"/>
      <name val="Arial"/>
      <family val="2"/>
    </font>
    <font>
      <u/>
      <sz val="10"/>
      <name val="Arial"/>
      <family val="2"/>
    </font>
    <font>
      <u/>
      <sz val="10"/>
      <color indexed="12"/>
      <name val="Arial"/>
      <family val="2"/>
    </font>
    <font>
      <sz val="9"/>
      <name val="Arial"/>
      <family val="2"/>
    </font>
    <font>
      <sz val="6"/>
      <color indexed="63"/>
      <name val="Univers"/>
      <family val="2"/>
    </font>
    <font>
      <sz val="6"/>
      <name val="Arial"/>
      <family val="2"/>
    </font>
    <font>
      <u/>
      <sz val="10"/>
      <color indexed="45"/>
      <name val="Arial"/>
      <family val="2"/>
    </font>
    <font>
      <b/>
      <sz val="14"/>
      <color indexed="9"/>
      <name val="Arial"/>
      <family val="2"/>
    </font>
    <font>
      <b/>
      <sz val="11"/>
      <color indexed="63"/>
      <name val="Arial"/>
      <family val="2"/>
    </font>
    <font>
      <sz val="8"/>
      <color indexed="81"/>
      <name val="Tahoma"/>
      <family val="2"/>
    </font>
    <font>
      <u/>
      <sz val="10"/>
      <name val="Arial"/>
      <family val="2"/>
    </font>
    <font>
      <sz val="9"/>
      <name val="Arial"/>
      <family val="2"/>
    </font>
    <font>
      <sz val="10"/>
      <color indexed="9"/>
      <name val="Arial"/>
      <family val="2"/>
    </font>
    <font>
      <b/>
      <sz val="10"/>
      <color theme="0"/>
      <name val="Arial"/>
      <family val="2"/>
    </font>
    <font>
      <sz val="12"/>
      <name val="Arial"/>
      <family val="2"/>
    </font>
    <font>
      <b/>
      <sz val="10"/>
      <color indexed="16"/>
      <name val="Arial"/>
      <family val="2"/>
    </font>
    <font>
      <i/>
      <sz val="11"/>
      <name val="Arial"/>
      <family val="2"/>
    </font>
  </fonts>
  <fills count="9">
    <fill>
      <patternFill patternType="none"/>
    </fill>
    <fill>
      <patternFill patternType="gray125"/>
    </fill>
    <fill>
      <patternFill patternType="solid">
        <fgColor indexed="45"/>
        <bgColor indexed="64"/>
      </patternFill>
    </fill>
    <fill>
      <patternFill patternType="solid">
        <fgColor indexed="14"/>
        <bgColor indexed="54"/>
      </patternFill>
    </fill>
    <fill>
      <patternFill patternType="solid">
        <fgColor indexed="43"/>
        <bgColor indexed="64"/>
      </patternFill>
    </fill>
    <fill>
      <patternFill patternType="solid">
        <fgColor indexed="14"/>
        <bgColor indexed="64"/>
      </patternFill>
    </fill>
    <fill>
      <patternFill patternType="solid">
        <fgColor indexed="26"/>
        <bgColor indexed="64"/>
      </patternFill>
    </fill>
    <fill>
      <patternFill patternType="solid">
        <fgColor theme="4"/>
        <bgColor theme="4"/>
      </patternFill>
    </fill>
    <fill>
      <patternFill patternType="solid">
        <fgColor theme="5" tint="0.59999389629810485"/>
        <bgColor indexed="64"/>
      </patternFill>
    </fill>
  </fills>
  <borders count="23">
    <border>
      <left/>
      <right/>
      <top/>
      <bottom/>
      <diagonal/>
    </border>
    <border>
      <left/>
      <right/>
      <top style="medium">
        <color indexed="64"/>
      </top>
      <bottom/>
      <diagonal/>
    </border>
    <border>
      <left/>
      <right style="thin">
        <color indexed="64"/>
      </right>
      <top/>
      <bottom/>
      <diagonal/>
    </border>
    <border>
      <left style="thin">
        <color indexed="64"/>
      </left>
      <right/>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thick">
        <color indexed="14"/>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bottom/>
      <diagonal/>
    </border>
    <border>
      <left/>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theme="0"/>
      </right>
      <top/>
      <bottom style="thick">
        <color theme="0"/>
      </bottom>
      <diagonal/>
    </border>
    <border>
      <left/>
      <right/>
      <top/>
      <bottom style="thick">
        <color theme="0"/>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0" fontId="8" fillId="0" borderId="0" applyNumberFormat="0" applyFill="0" applyBorder="0" applyAlignment="0" applyProtection="0">
      <alignment vertical="top"/>
      <protection locked="0"/>
    </xf>
  </cellStyleXfs>
  <cellXfs count="134">
    <xf numFmtId="0" fontId="0" fillId="0" borderId="0" xfId="0"/>
    <xf numFmtId="164" fontId="0" fillId="0" borderId="0" xfId="0" applyNumberFormat="1" applyAlignment="1" applyProtection="1">
      <alignment horizontal="left"/>
    </xf>
    <xf numFmtId="164" fontId="0" fillId="0" borderId="0" xfId="0" applyNumberFormat="1" applyProtection="1"/>
    <xf numFmtId="165" fontId="0" fillId="0" borderId="0" xfId="0" applyNumberFormat="1" applyProtection="1"/>
    <xf numFmtId="166" fontId="0" fillId="0" borderId="0" xfId="0" applyNumberFormat="1" applyProtection="1"/>
    <xf numFmtId="164" fontId="0" fillId="0" borderId="0" xfId="0" applyNumberFormat="1" applyAlignment="1" applyProtection="1">
      <alignment horizontal="right"/>
    </xf>
    <xf numFmtId="168" fontId="0" fillId="0" borderId="0" xfId="0" applyNumberFormat="1"/>
    <xf numFmtId="0" fontId="2" fillId="0" borderId="0" xfId="0" applyFont="1"/>
    <xf numFmtId="0" fontId="4" fillId="0" borderId="0" xfId="0" applyFont="1"/>
    <xf numFmtId="0" fontId="5" fillId="0" borderId="1" xfId="0" applyFont="1" applyBorder="1" applyAlignment="1"/>
    <xf numFmtId="0" fontId="6" fillId="0" borderId="2" xfId="0" applyFont="1" applyBorder="1" applyAlignment="1">
      <alignment horizontal="right"/>
    </xf>
    <xf numFmtId="0" fontId="6" fillId="0" borderId="3" xfId="0" applyFont="1" applyBorder="1" applyAlignment="1">
      <alignment horizontal="right"/>
    </xf>
    <xf numFmtId="0" fontId="6" fillId="0" borderId="4" xfId="0" applyFont="1" applyBorder="1" applyAlignment="1">
      <alignment horizontal="right"/>
    </xf>
    <xf numFmtId="0" fontId="5" fillId="0" borderId="5" xfId="0" applyFont="1" applyBorder="1"/>
    <xf numFmtId="3" fontId="7" fillId="0" borderId="3" xfId="0" applyNumberFormat="1" applyFont="1" applyBorder="1" applyAlignment="1">
      <alignment horizontal="right"/>
    </xf>
    <xf numFmtId="4" fontId="7" fillId="0" borderId="2" xfId="0" applyNumberFormat="1" applyFont="1" applyBorder="1"/>
    <xf numFmtId="4" fontId="7" fillId="0" borderId="4" xfId="0" applyNumberFormat="1" applyFont="1" applyBorder="1"/>
    <xf numFmtId="0" fontId="5" fillId="0" borderId="6" xfId="0" applyFont="1" applyBorder="1"/>
    <xf numFmtId="0" fontId="8" fillId="0" borderId="0" xfId="2" applyFont="1" applyAlignment="1" applyProtection="1">
      <alignment wrapText="1"/>
    </xf>
    <xf numFmtId="0" fontId="8" fillId="0" borderId="0" xfId="2" applyFont="1" applyAlignment="1" applyProtection="1">
      <alignment horizontal="left" wrapText="1"/>
    </xf>
    <xf numFmtId="0" fontId="4" fillId="0" borderId="0" xfId="0" applyFont="1" applyFill="1" applyBorder="1"/>
    <xf numFmtId="0" fontId="1" fillId="0" borderId="0" xfId="0" applyFont="1"/>
    <xf numFmtId="0" fontId="5" fillId="0" borderId="0" xfId="0" applyFont="1" applyFill="1" applyBorder="1" applyAlignment="1" applyProtection="1"/>
    <xf numFmtId="0" fontId="1" fillId="0" borderId="0" xfId="0" applyFont="1" applyBorder="1" applyAlignment="1"/>
    <xf numFmtId="0" fontId="1" fillId="0" borderId="0" xfId="0" applyFont="1" applyProtection="1"/>
    <xf numFmtId="0" fontId="4" fillId="0" borderId="0" xfId="0" applyFont="1" applyProtection="1"/>
    <xf numFmtId="0" fontId="10" fillId="0" borderId="0" xfId="0" applyFont="1" applyAlignment="1">
      <alignment horizontal="left"/>
    </xf>
    <xf numFmtId="0" fontId="11" fillId="0" borderId="0" xfId="0" applyFont="1"/>
    <xf numFmtId="0" fontId="10" fillId="0" borderId="0" xfId="0" applyFont="1" applyAlignment="1">
      <alignment wrapText="1"/>
    </xf>
    <xf numFmtId="0" fontId="12" fillId="0" borderId="0" xfId="2" applyFont="1" applyAlignment="1" applyProtection="1">
      <alignment horizontal="left"/>
    </xf>
    <xf numFmtId="0" fontId="13" fillId="2" borderId="7" xfId="0" applyFont="1" applyFill="1" applyBorder="1" applyAlignment="1"/>
    <xf numFmtId="0" fontId="4" fillId="3" borderId="0" xfId="0" applyFont="1" applyFill="1"/>
    <xf numFmtId="0" fontId="4" fillId="0" borderId="0" xfId="0" applyFont="1" applyFill="1"/>
    <xf numFmtId="0" fontId="0" fillId="3" borderId="0" xfId="0" applyFill="1"/>
    <xf numFmtId="0" fontId="0" fillId="0" borderId="0" xfId="0" applyFill="1"/>
    <xf numFmtId="0" fontId="1" fillId="3" borderId="0" xfId="0" applyFont="1" applyFill="1"/>
    <xf numFmtId="0" fontId="1" fillId="0" borderId="0" xfId="0" applyFont="1" applyFill="1"/>
    <xf numFmtId="0" fontId="14" fillId="0" borderId="0" xfId="0" applyFont="1"/>
    <xf numFmtId="0" fontId="1" fillId="0" borderId="0" xfId="2" applyFont="1" applyAlignment="1" applyProtection="1">
      <alignment horizontal="left"/>
    </xf>
    <xf numFmtId="14" fontId="1" fillId="0" borderId="0" xfId="0" applyNumberFormat="1" applyFont="1" applyAlignment="1" applyProtection="1">
      <alignment horizontal="left"/>
    </xf>
    <xf numFmtId="0" fontId="1" fillId="0" borderId="8" xfId="0" applyFont="1" applyBorder="1"/>
    <xf numFmtId="0" fontId="1" fillId="0" borderId="0" xfId="0" applyFont="1" applyAlignment="1"/>
    <xf numFmtId="0" fontId="1" fillId="0" borderId="3" xfId="0" applyFont="1" applyBorder="1"/>
    <xf numFmtId="0" fontId="1" fillId="0" borderId="2" xfId="0" applyFont="1" applyBorder="1" applyProtection="1">
      <protection locked="0"/>
    </xf>
    <xf numFmtId="0" fontId="1" fillId="0" borderId="0" xfId="0" applyFont="1" applyBorder="1"/>
    <xf numFmtId="0" fontId="1" fillId="0" borderId="4" xfId="0" applyFont="1" applyBorder="1"/>
    <xf numFmtId="0" fontId="1" fillId="0" borderId="5" xfId="0" applyFont="1" applyBorder="1" applyProtection="1">
      <protection hidden="1"/>
    </xf>
    <xf numFmtId="167" fontId="1" fillId="4" borderId="9" xfId="0" applyNumberFormat="1" applyFont="1" applyFill="1" applyBorder="1" applyProtection="1">
      <protection locked="0"/>
    </xf>
    <xf numFmtId="167" fontId="1" fillId="0" borderId="2" xfId="0" applyNumberFormat="1" applyFont="1" applyBorder="1"/>
    <xf numFmtId="0" fontId="1" fillId="4" borderId="9" xfId="0" applyFont="1" applyFill="1" applyBorder="1" applyProtection="1">
      <protection locked="0"/>
    </xf>
    <xf numFmtId="0" fontId="1" fillId="0" borderId="2" xfId="0" applyFont="1" applyBorder="1"/>
    <xf numFmtId="10" fontId="1" fillId="4" borderId="9" xfId="0" applyNumberFormat="1" applyFont="1" applyFill="1" applyBorder="1" applyProtection="1">
      <protection locked="0"/>
    </xf>
    <xf numFmtId="3" fontId="1" fillId="4" borderId="9" xfId="0" applyNumberFormat="1" applyFont="1" applyFill="1" applyBorder="1" applyProtection="1">
      <protection locked="0"/>
    </xf>
    <xf numFmtId="0" fontId="1" fillId="0" borderId="4" xfId="0" quotePrefix="1" applyFont="1" applyBorder="1"/>
    <xf numFmtId="0" fontId="1" fillId="0" borderId="0" xfId="0" quotePrefix="1" applyFont="1" applyBorder="1"/>
    <xf numFmtId="0" fontId="1" fillId="0" borderId="10" xfId="0" applyFont="1" applyBorder="1"/>
    <xf numFmtId="0" fontId="1" fillId="0" borderId="11" xfId="0" applyFont="1" applyBorder="1"/>
    <xf numFmtId="0" fontId="1" fillId="0" borderId="12" xfId="0" applyFont="1" applyBorder="1"/>
    <xf numFmtId="0" fontId="1" fillId="0" borderId="5" xfId="0" applyFont="1" applyBorder="1"/>
    <xf numFmtId="167" fontId="1" fillId="0" borderId="3" xfId="0" applyNumberFormat="1" applyFont="1" applyBorder="1"/>
    <xf numFmtId="167" fontId="1" fillId="0" borderId="3" xfId="0" applyNumberFormat="1" applyFont="1" applyBorder="1" applyAlignment="1">
      <alignment horizontal="right"/>
    </xf>
    <xf numFmtId="168" fontId="1" fillId="0" borderId="2" xfId="0" applyNumberFormat="1" applyFont="1" applyBorder="1"/>
    <xf numFmtId="168" fontId="1" fillId="0" borderId="4" xfId="0" applyNumberFormat="1" applyFont="1" applyBorder="1"/>
    <xf numFmtId="0" fontId="1" fillId="0" borderId="3" xfId="0" applyFont="1" applyBorder="1" applyAlignment="1">
      <alignment horizontal="right"/>
    </xf>
    <xf numFmtId="3" fontId="1" fillId="0" borderId="3" xfId="0" applyNumberFormat="1" applyFont="1" applyBorder="1" applyAlignment="1">
      <alignment horizontal="right"/>
    </xf>
    <xf numFmtId="4" fontId="1" fillId="0" borderId="2" xfId="0" applyNumberFormat="1" applyFont="1" applyBorder="1"/>
    <xf numFmtId="4" fontId="1" fillId="0" borderId="4" xfId="0" applyNumberFormat="1" applyFont="1" applyBorder="1"/>
    <xf numFmtId="167" fontId="1" fillId="0" borderId="13" xfId="0" applyNumberFormat="1" applyFont="1" applyBorder="1" applyAlignment="1">
      <alignment horizontal="right"/>
    </xf>
    <xf numFmtId="168" fontId="1" fillId="0" borderId="14" xfId="0" applyNumberFormat="1" applyFont="1" applyBorder="1"/>
    <xf numFmtId="167" fontId="1" fillId="0" borderId="13" xfId="0" applyNumberFormat="1" applyFont="1" applyBorder="1"/>
    <xf numFmtId="168" fontId="1" fillId="0" borderId="11" xfId="0" applyNumberFormat="1" applyFont="1" applyBorder="1"/>
    <xf numFmtId="0" fontId="1" fillId="0" borderId="0" xfId="0" applyFont="1" applyAlignment="1" applyProtection="1"/>
    <xf numFmtId="0" fontId="1" fillId="0" borderId="3" xfId="0" applyFont="1" applyBorder="1" applyProtection="1">
      <protection locked="0"/>
    </xf>
    <xf numFmtId="0" fontId="1" fillId="0" borderId="15" xfId="0" applyFont="1" applyBorder="1"/>
    <xf numFmtId="0" fontId="1" fillId="0" borderId="15" xfId="0" applyFont="1" applyBorder="1" applyProtection="1">
      <protection hidden="1"/>
    </xf>
    <xf numFmtId="0" fontId="3" fillId="0" borderId="10" xfId="0" applyFont="1" applyBorder="1" applyAlignment="1"/>
    <xf numFmtId="0" fontId="0" fillId="5" borderId="0" xfId="0" applyFill="1"/>
    <xf numFmtId="0" fontId="4" fillId="0" borderId="0" xfId="0" quotePrefix="1" applyFont="1" applyBorder="1" applyAlignment="1" applyProtection="1"/>
    <xf numFmtId="0" fontId="9" fillId="4" borderId="9" xfId="0" applyFont="1" applyFill="1" applyBorder="1" applyAlignment="1" applyProtection="1">
      <alignment horizontal="left"/>
    </xf>
    <xf numFmtId="169" fontId="1" fillId="4" borderId="9" xfId="1" applyNumberFormat="1" applyFont="1" applyFill="1" applyBorder="1" applyProtection="1">
      <protection locked="0"/>
    </xf>
    <xf numFmtId="0" fontId="2" fillId="0" borderId="0" xfId="0" applyFont="1" applyAlignment="1">
      <alignment horizontal="center"/>
    </xf>
    <xf numFmtId="0" fontId="4" fillId="0" borderId="5" xfId="0" applyFont="1" applyFill="1" applyBorder="1" applyProtection="1">
      <protection hidden="1"/>
    </xf>
    <xf numFmtId="0" fontId="5" fillId="0" borderId="12" xfId="0" applyFont="1" applyBorder="1" applyProtection="1">
      <protection hidden="1"/>
    </xf>
    <xf numFmtId="0" fontId="4" fillId="0" borderId="6" xfId="0" applyFont="1" applyFill="1" applyBorder="1" applyProtection="1">
      <protection hidden="1"/>
    </xf>
    <xf numFmtId="0" fontId="5" fillId="0" borderId="10" xfId="0" applyFont="1" applyBorder="1"/>
    <xf numFmtId="168" fontId="1" fillId="6" borderId="9" xfId="0" applyNumberFormat="1" applyFont="1" applyFill="1" applyBorder="1" applyProtection="1">
      <protection locked="0"/>
    </xf>
    <xf numFmtId="0" fontId="1" fillId="0" borderId="0" xfId="0" applyFont="1" applyFill="1" applyBorder="1" applyProtection="1">
      <protection locked="0"/>
    </xf>
    <xf numFmtId="0" fontId="4" fillId="0" borderId="4" xfId="0" applyFont="1" applyBorder="1"/>
    <xf numFmtId="0" fontId="4" fillId="0" borderId="0" xfId="0" applyFont="1" applyBorder="1" applyAlignment="1" applyProtection="1">
      <alignment horizontal="left"/>
    </xf>
    <xf numFmtId="0" fontId="2" fillId="0" borderId="0" xfId="2" applyFont="1" applyAlignment="1" applyProtection="1">
      <alignment horizontal="center" wrapText="1"/>
    </xf>
    <xf numFmtId="164" fontId="16" fillId="0" borderId="0" xfId="0" applyNumberFormat="1" applyFont="1" applyAlignment="1" applyProtection="1">
      <alignment horizontal="right"/>
    </xf>
    <xf numFmtId="167" fontId="1" fillId="6" borderId="9" xfId="0" applyNumberFormat="1" applyFont="1" applyFill="1" applyBorder="1" applyProtection="1">
      <protection locked="0"/>
    </xf>
    <xf numFmtId="167" fontId="18" fillId="0" borderId="3" xfId="0" applyNumberFormat="1" applyFont="1" applyBorder="1"/>
    <xf numFmtId="0" fontId="9" fillId="0" borderId="0" xfId="0" applyFont="1" applyFill="1" applyBorder="1"/>
    <xf numFmtId="0" fontId="2" fillId="0" borderId="12" xfId="0" applyFont="1" applyBorder="1" applyProtection="1">
      <protection hidden="1"/>
    </xf>
    <xf numFmtId="0" fontId="2" fillId="0" borderId="1" xfId="0" applyFont="1" applyBorder="1" applyAlignment="1"/>
    <xf numFmtId="0" fontId="2" fillId="0" borderId="10" xfId="0" applyFont="1" applyBorder="1"/>
    <xf numFmtId="0" fontId="2" fillId="0" borderId="5" xfId="0" applyFont="1" applyBorder="1"/>
    <xf numFmtId="0" fontId="2" fillId="0" borderId="6" xfId="0" applyFont="1" applyBorder="1"/>
    <xf numFmtId="0" fontId="2" fillId="0" borderId="0" xfId="0" applyFont="1" applyFill="1" applyBorder="1" applyAlignment="1" applyProtection="1"/>
    <xf numFmtId="0" fontId="1" fillId="0" borderId="0" xfId="0" applyFont="1" applyBorder="1" applyProtection="1"/>
    <xf numFmtId="3" fontId="7" fillId="0" borderId="3" xfId="0" applyNumberFormat="1" applyFont="1" applyBorder="1"/>
    <xf numFmtId="3" fontId="1" fillId="0" borderId="3" xfId="0" applyNumberFormat="1" applyFont="1" applyBorder="1"/>
    <xf numFmtId="0" fontId="19" fillId="7" borderId="19" xfId="0" applyFont="1" applyFill="1" applyBorder="1"/>
    <xf numFmtId="0" fontId="19" fillId="7" borderId="20" xfId="0" applyFont="1" applyFill="1" applyBorder="1"/>
    <xf numFmtId="0" fontId="19" fillId="7" borderId="0" xfId="0" applyFont="1" applyFill="1" applyBorder="1"/>
    <xf numFmtId="0" fontId="10" fillId="0" borderId="0" xfId="0" applyFont="1" applyAlignment="1">
      <alignment horizontal="left" wrapText="1"/>
    </xf>
    <xf numFmtId="0" fontId="4" fillId="0" borderId="0" xfId="2" applyFont="1" applyAlignment="1" applyProtection="1">
      <alignment horizontal="left" wrapText="1"/>
    </xf>
    <xf numFmtId="0" fontId="1" fillId="0" borderId="16" xfId="0" applyFont="1" applyBorder="1" applyAlignment="1" applyProtection="1">
      <alignment horizontal="left"/>
    </xf>
    <xf numFmtId="0" fontId="1" fillId="0" borderId="0" xfId="0" applyFont="1" applyBorder="1" applyAlignment="1" applyProtection="1">
      <alignment horizontal="left"/>
    </xf>
    <xf numFmtId="0" fontId="6" fillId="0" borderId="17" xfId="0" applyFont="1" applyBorder="1" applyAlignment="1">
      <alignment horizontal="center"/>
    </xf>
    <xf numFmtId="0" fontId="7" fillId="0" borderId="18" xfId="0" applyFont="1" applyBorder="1" applyAlignment="1"/>
    <xf numFmtId="0" fontId="1" fillId="0" borderId="8" xfId="0" applyFont="1" applyBorder="1"/>
    <xf numFmtId="0" fontId="5" fillId="0" borderId="17" xfId="0" applyFont="1" applyBorder="1" applyAlignment="1">
      <alignment horizontal="center"/>
    </xf>
    <xf numFmtId="0" fontId="1" fillId="0" borderId="18" xfId="0" applyFont="1" applyBorder="1" applyAlignment="1"/>
    <xf numFmtId="0" fontId="7" fillId="0" borderId="18" xfId="0" applyFont="1" applyBorder="1" applyAlignment="1">
      <alignment horizontal="center"/>
    </xf>
    <xf numFmtId="0" fontId="17" fillId="0" borderId="3" xfId="0" applyFont="1" applyBorder="1" applyAlignment="1">
      <alignment horizontal="center" wrapText="1"/>
    </xf>
    <xf numFmtId="0" fontId="17" fillId="0" borderId="4" xfId="0" applyFont="1" applyBorder="1" applyAlignment="1">
      <alignment horizontal="center" wrapText="1"/>
    </xf>
    <xf numFmtId="0" fontId="2" fillId="0" borderId="17" xfId="0" applyFont="1" applyBorder="1" applyAlignment="1">
      <alignment horizontal="center"/>
    </xf>
    <xf numFmtId="0" fontId="2" fillId="0" borderId="0" xfId="0" applyFont="1" applyAlignment="1">
      <alignment horizontal="center"/>
    </xf>
    <xf numFmtId="0" fontId="20" fillId="3" borderId="0" xfId="0" applyFont="1" applyFill="1"/>
    <xf numFmtId="0" fontId="20" fillId="0" borderId="0" xfId="0" applyFont="1" applyFill="1"/>
    <xf numFmtId="0" fontId="20" fillId="8" borderId="9" xfId="0" applyFont="1" applyFill="1" applyBorder="1" applyAlignment="1" applyProtection="1">
      <alignment horizontal="left"/>
    </xf>
    <xf numFmtId="0" fontId="20" fillId="8" borderId="9" xfId="0" applyFont="1" applyFill="1" applyBorder="1"/>
    <xf numFmtId="0" fontId="20" fillId="0" borderId="0" xfId="0" applyFont="1"/>
    <xf numFmtId="0" fontId="20" fillId="8" borderId="21" xfId="0" applyFont="1" applyFill="1" applyBorder="1"/>
    <xf numFmtId="0" fontId="20" fillId="8" borderId="22" xfId="0" applyFont="1" applyFill="1" applyBorder="1"/>
    <xf numFmtId="0" fontId="22" fillId="3" borderId="0" xfId="0" applyFont="1" applyFill="1"/>
    <xf numFmtId="0" fontId="22" fillId="0" borderId="0" xfId="0" applyFont="1" applyFill="1"/>
    <xf numFmtId="0" fontId="22" fillId="8" borderId="9" xfId="0" applyFont="1" applyFill="1" applyBorder="1" applyAlignment="1" applyProtection="1">
      <alignment horizontal="left"/>
    </xf>
    <xf numFmtId="0" fontId="22" fillId="8" borderId="9" xfId="0" applyFont="1" applyFill="1" applyBorder="1"/>
    <xf numFmtId="0" fontId="22" fillId="8" borderId="21" xfId="0" applyFont="1" applyFill="1" applyBorder="1"/>
    <xf numFmtId="0" fontId="22" fillId="8" borderId="22" xfId="0" applyFont="1" applyFill="1" applyBorder="1"/>
    <xf numFmtId="0" fontId="22" fillId="0" borderId="0" xfId="0" applyFont="1"/>
  </cellXfs>
  <cellStyles count="3">
    <cellStyle name="Comma" xfId="1" builtinId="3"/>
    <cellStyle name="Hyperlink" xfId="2" builtinId="8"/>
    <cellStyle name="Normal" xfId="0" builtinId="0"/>
  </cellStyles>
  <dxfs count="2">
    <dxf>
      <border outline="0">
        <bottom style="thick">
          <color theme="0"/>
        </bottom>
      </border>
    </dxf>
    <dxf>
      <font>
        <b/>
        <i val="0"/>
        <strike val="0"/>
        <condense val="0"/>
        <extend val="0"/>
        <outline val="0"/>
        <shadow val="0"/>
        <u val="none"/>
        <vertAlign val="baseline"/>
        <sz val="10"/>
        <color theme="0"/>
        <name val="Arial"/>
        <scheme val="none"/>
      </font>
      <fill>
        <patternFill patternType="solid">
          <fgColor theme="4"/>
          <bgColor theme="4"/>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CCCC99"/>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CC"/>
      <rgbColor rgb="0099CCFF"/>
      <rgbColor rgb="00990000"/>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microsoft.com/office/2006/relationships/vbaProject" Target="vbaProject.bin"/></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7</xdr:col>
      <xdr:colOff>190500</xdr:colOff>
      <xdr:row>10</xdr:row>
      <xdr:rowOff>0</xdr:rowOff>
    </xdr:from>
    <xdr:to>
      <xdr:col>9</xdr:col>
      <xdr:colOff>19050</xdr:colOff>
      <xdr:row>17</xdr:row>
      <xdr:rowOff>152400</xdr:rowOff>
    </xdr:to>
    <xdr:pic>
      <xdr:nvPicPr>
        <xdr:cNvPr id="8226" name="Picture 1" descr="in00443_"/>
        <xdr:cNvPicPr>
          <a:picLocks noChangeAspect="1" noChangeArrowheads="1"/>
        </xdr:cNvPicPr>
      </xdr:nvPicPr>
      <xdr:blipFill>
        <a:blip xmlns:r="http://schemas.openxmlformats.org/officeDocument/2006/relationships" r:embed="rId1"/>
        <a:srcRect/>
        <a:stretch>
          <a:fillRect/>
        </a:stretch>
      </xdr:blipFill>
      <xdr:spPr bwMode="auto">
        <a:xfrm>
          <a:off x="6553200" y="1724025"/>
          <a:ext cx="1514475" cy="1285875"/>
        </a:xfrm>
        <a:prstGeom prst="rect">
          <a:avLst/>
        </a:prstGeom>
        <a:noFill/>
        <a:ln w="9525">
          <a:noFill/>
          <a:miter lim="800000"/>
          <a:headEnd/>
          <a:tailEnd/>
        </a:ln>
      </xdr:spPr>
    </xdr:pic>
    <xdr:clientData/>
  </xdr:twoCellAnchor>
  <xdr:twoCellAnchor editAs="oneCell">
    <xdr:from>
      <xdr:col>6</xdr:col>
      <xdr:colOff>142875</xdr:colOff>
      <xdr:row>41</xdr:row>
      <xdr:rowOff>104775</xdr:rowOff>
    </xdr:from>
    <xdr:to>
      <xdr:col>8</xdr:col>
      <xdr:colOff>733425</xdr:colOff>
      <xdr:row>43</xdr:row>
      <xdr:rowOff>142875</xdr:rowOff>
    </xdr:to>
    <xdr:pic>
      <xdr:nvPicPr>
        <xdr:cNvPr id="8227" name="Picture 2" descr="Univ_B_1_NoTh_Reg"/>
        <xdr:cNvPicPr>
          <a:picLocks noChangeAspect="1" noChangeArrowheads="1"/>
        </xdr:cNvPicPr>
      </xdr:nvPicPr>
      <xdr:blipFill>
        <a:blip xmlns:r="http://schemas.openxmlformats.org/officeDocument/2006/relationships" r:embed="rId2" cstate="print">
          <a:lum contrast="20000"/>
        </a:blip>
        <a:srcRect/>
        <a:stretch>
          <a:fillRect/>
        </a:stretch>
      </xdr:blipFill>
      <xdr:spPr bwMode="auto">
        <a:xfrm>
          <a:off x="5695950" y="6867525"/>
          <a:ext cx="2247900" cy="3619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190500</xdr:colOff>
      <xdr:row>11</xdr:row>
      <xdr:rowOff>0</xdr:rowOff>
    </xdr:from>
    <xdr:to>
      <xdr:col>8</xdr:col>
      <xdr:colOff>819150</xdr:colOff>
      <xdr:row>18</xdr:row>
      <xdr:rowOff>152400</xdr:rowOff>
    </xdr:to>
    <xdr:pic macro="[0]!AddMachOp">
      <xdr:nvPicPr>
        <xdr:cNvPr id="11286" name="Picture 1" descr="in00443_"/>
        <xdr:cNvPicPr>
          <a:picLocks noChangeAspect="1" noChangeArrowheads="1"/>
        </xdr:cNvPicPr>
      </xdr:nvPicPr>
      <xdr:blipFill>
        <a:blip xmlns:r="http://schemas.openxmlformats.org/officeDocument/2006/relationships" r:embed="rId1"/>
        <a:srcRect/>
        <a:stretch>
          <a:fillRect/>
        </a:stretch>
      </xdr:blipFill>
      <xdr:spPr bwMode="auto">
        <a:xfrm>
          <a:off x="6553200" y="1724025"/>
          <a:ext cx="1514475" cy="1285875"/>
        </a:xfrm>
        <a:prstGeom prst="rect">
          <a:avLst/>
        </a:prstGeom>
        <a:noFill/>
        <a:ln w="9525">
          <a:noFill/>
          <a:miter lim="800000"/>
          <a:headEnd/>
          <a:tailEnd/>
        </a:ln>
      </xdr:spPr>
    </xdr:pic>
    <xdr:clientData/>
  </xdr:twoCellAnchor>
  <xdr:twoCellAnchor editAs="oneCell">
    <xdr:from>
      <xdr:col>6</xdr:col>
      <xdr:colOff>142875</xdr:colOff>
      <xdr:row>42</xdr:row>
      <xdr:rowOff>104775</xdr:rowOff>
    </xdr:from>
    <xdr:to>
      <xdr:col>8</xdr:col>
      <xdr:colOff>9525</xdr:colOff>
      <xdr:row>44</xdr:row>
      <xdr:rowOff>142875</xdr:rowOff>
    </xdr:to>
    <xdr:pic>
      <xdr:nvPicPr>
        <xdr:cNvPr id="11287" name="Picture 2" descr="Univ_B_1_NoTh_Reg"/>
        <xdr:cNvPicPr>
          <a:picLocks noChangeAspect="1" noChangeArrowheads="1"/>
        </xdr:cNvPicPr>
      </xdr:nvPicPr>
      <xdr:blipFill>
        <a:blip xmlns:r="http://schemas.openxmlformats.org/officeDocument/2006/relationships" r:embed="rId2" cstate="print">
          <a:lum contrast="20000"/>
        </a:blip>
        <a:srcRect/>
        <a:stretch>
          <a:fillRect/>
        </a:stretch>
      </xdr:blipFill>
      <xdr:spPr bwMode="auto">
        <a:xfrm>
          <a:off x="5695950" y="6867525"/>
          <a:ext cx="2247900" cy="361950"/>
        </a:xfrm>
        <a:prstGeom prst="rect">
          <a:avLst/>
        </a:prstGeom>
        <a:noFill/>
        <a:ln w="9525">
          <a:noFill/>
          <a:miter lim="800000"/>
          <a:headEnd/>
          <a:tailEnd/>
        </a:ln>
      </xdr:spPr>
    </xdr:pic>
    <xdr:clientData/>
  </xdr:twoCellAnchor>
</xdr:wsDr>
</file>

<file path=xl/tables/table1.xml><?xml version="1.0" encoding="utf-8"?>
<table xmlns="http://schemas.openxmlformats.org/spreadsheetml/2006/main" id="1" name="Table1" displayName="Table1" ref="B5:H9" totalsRowCount="1" headerRowDxfId="1" headerRowBorderDxfId="0">
  <autoFilter ref="B5:H8"/>
  <tableColumns count="7">
    <tableColumn id="1" name="Power Unit" totalsRowLabel="Total"/>
    <tableColumn id="2" name="Implement"/>
    <tableColumn id="3" name="Repair" totalsRowFunction="sum"/>
    <tableColumn id="4" name="Fuel &amp; Lube" totalsRowFunction="sum"/>
    <tableColumn id="5" name="Labor" totalsRowFunction="sum"/>
    <tableColumn id="6" name="Capital Recovery" totalsRowFunction="sum"/>
    <tableColumn id="7" name="THI" totalsRowFunction="sum"/>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extension.iastate.edu/agdm/crops/pdf/a3-29.pdf" TargetMode="External"/><Relationship Id="rId1" Type="http://schemas.openxmlformats.org/officeDocument/2006/relationships/hyperlink" Target="mailto:wedwards@iastate.edu?subject=AgDM%20Spreadsheet"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extension.iastate.edu/agdm/crops/pdf/a3-29.pdf" TargetMode="External"/><Relationship Id="rId1" Type="http://schemas.openxmlformats.org/officeDocument/2006/relationships/hyperlink" Target="mailto:wedwards@iastate.edu?subject=AgDM%20Spreadsheet" TargetMode="External"/><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codeName="Sheet1">
    <pageSetUpPr fitToPage="1"/>
  </sheetPr>
  <dimension ref="A1:K50"/>
  <sheetViews>
    <sheetView showGridLines="0" zoomScaleNormal="100" workbookViewId="0">
      <selection activeCell="C38" sqref="C38"/>
    </sheetView>
  </sheetViews>
  <sheetFormatPr defaultRowHeight="12.75"/>
  <cols>
    <col min="1" max="1" width="1.7109375" style="76" customWidth="1"/>
    <col min="2" max="2" width="1.7109375" customWidth="1"/>
    <col min="3" max="3" width="40.7109375" customWidth="1"/>
    <col min="4" max="4" width="13.7109375" customWidth="1"/>
    <col min="5" max="5" width="12.7109375" customWidth="1"/>
    <col min="6" max="6" width="13.42578125" customWidth="1"/>
    <col min="7" max="7" width="12.140625" customWidth="1"/>
    <col min="8" max="8" width="12.7109375" customWidth="1"/>
    <col min="9" max="9" width="12.5703125" customWidth="1"/>
  </cols>
  <sheetData>
    <row r="1" spans="1:11" s="30" customFormat="1" ht="18.75" thickBot="1">
      <c r="C1" s="30" t="s">
        <v>66</v>
      </c>
    </row>
    <row r="2" spans="1:11" s="8" customFormat="1" ht="15.75" thickTop="1">
      <c r="A2" s="31"/>
      <c r="B2" s="32"/>
      <c r="C2" s="37" t="s">
        <v>67</v>
      </c>
      <c r="D2" s="7"/>
    </row>
    <row r="3" spans="1:11" s="8" customFormat="1" ht="12.75" customHeight="1">
      <c r="A3" s="31"/>
      <c r="B3" s="32"/>
      <c r="C3" s="107" t="s">
        <v>79</v>
      </c>
      <c r="D3" s="107"/>
      <c r="E3" s="107"/>
      <c r="F3" s="107"/>
      <c r="G3" s="107"/>
      <c r="H3" s="18"/>
      <c r="I3" s="18"/>
      <c r="J3" s="18"/>
      <c r="K3" s="18"/>
    </row>
    <row r="4" spans="1:11" s="8" customFormat="1">
      <c r="A4" s="31"/>
      <c r="B4" s="32"/>
      <c r="E4" s="19"/>
      <c r="F4" s="19"/>
      <c r="G4" s="19"/>
      <c r="H4" s="19"/>
      <c r="I4" s="19"/>
      <c r="J4" s="18"/>
      <c r="K4" s="18"/>
    </row>
    <row r="5" spans="1:11" s="8" customFormat="1">
      <c r="A5" s="31"/>
      <c r="B5" s="32"/>
      <c r="C5" s="109" t="s">
        <v>76</v>
      </c>
      <c r="D5" s="109"/>
      <c r="E5" s="71"/>
      <c r="F5" s="71"/>
      <c r="G5" s="71"/>
      <c r="H5" s="19"/>
      <c r="I5" s="19"/>
      <c r="J5" s="18"/>
      <c r="K5" s="18"/>
    </row>
    <row r="6" spans="1:11" s="124" customFormat="1" ht="16.5" customHeight="1">
      <c r="A6" s="120"/>
      <c r="B6" s="121"/>
      <c r="C6" s="122" t="s">
        <v>115</v>
      </c>
      <c r="D6" s="123"/>
      <c r="E6" s="123"/>
      <c r="F6" s="123"/>
      <c r="G6" s="125"/>
      <c r="H6" s="126"/>
    </row>
    <row r="7" spans="1:11" ht="16.5" thickBot="1">
      <c r="A7" s="33"/>
      <c r="B7" s="34"/>
      <c r="C7" s="75"/>
      <c r="D7" s="75"/>
      <c r="E7" s="75"/>
      <c r="F7" s="75"/>
      <c r="G7" s="75"/>
    </row>
    <row r="8" spans="1:11" s="21" customFormat="1">
      <c r="A8" s="33"/>
      <c r="B8" s="34"/>
      <c r="C8" s="82" t="s">
        <v>73</v>
      </c>
      <c r="D8" s="113" t="s">
        <v>37</v>
      </c>
      <c r="E8" s="114">
        <v>1</v>
      </c>
      <c r="F8" s="9" t="s">
        <v>56</v>
      </c>
      <c r="G8" s="40"/>
      <c r="H8" s="41"/>
    </row>
    <row r="9" spans="1:11" s="21" customFormat="1" ht="8.25" customHeight="1">
      <c r="A9" s="33"/>
      <c r="B9" s="34"/>
      <c r="C9" s="73"/>
      <c r="D9" s="42"/>
      <c r="E9" s="44"/>
      <c r="F9" s="42"/>
      <c r="G9" s="45"/>
      <c r="J9" s="41"/>
    </row>
    <row r="10" spans="1:11" s="21" customFormat="1">
      <c r="A10" s="33"/>
      <c r="B10" s="34"/>
      <c r="C10" s="74" t="s">
        <v>36</v>
      </c>
      <c r="D10" s="43">
        <v>5</v>
      </c>
      <c r="E10" s="50"/>
      <c r="F10" s="72">
        <v>1</v>
      </c>
      <c r="G10" s="45"/>
    </row>
    <row r="11" spans="1:11" s="21" customFormat="1">
      <c r="A11" s="33"/>
      <c r="B11" s="34"/>
      <c r="C11" s="46" t="s">
        <v>38</v>
      </c>
      <c r="D11" s="47">
        <v>375000</v>
      </c>
      <c r="E11" s="48"/>
      <c r="F11" s="47"/>
      <c r="G11" s="45"/>
    </row>
    <row r="12" spans="1:11" s="21" customFormat="1">
      <c r="A12" s="33"/>
      <c r="B12" s="34"/>
      <c r="C12" s="46" t="s">
        <v>77</v>
      </c>
      <c r="D12" s="47">
        <v>300000</v>
      </c>
      <c r="E12" s="48"/>
      <c r="F12" s="47"/>
      <c r="G12" s="45"/>
      <c r="J12" s="41"/>
    </row>
    <row r="13" spans="1:11" s="21" customFormat="1">
      <c r="A13" s="33"/>
      <c r="B13" s="34"/>
      <c r="C13" s="46" t="s">
        <v>74</v>
      </c>
      <c r="D13" s="79">
        <v>500</v>
      </c>
      <c r="E13" s="44" t="s">
        <v>47</v>
      </c>
      <c r="F13" s="86"/>
      <c r="G13" s="45"/>
    </row>
    <row r="14" spans="1:11" s="21" customFormat="1">
      <c r="A14" s="33"/>
      <c r="B14" s="34"/>
      <c r="C14" s="46" t="s">
        <v>75</v>
      </c>
      <c r="D14" s="49">
        <v>2</v>
      </c>
      <c r="E14" s="50" t="s">
        <v>48</v>
      </c>
      <c r="F14" s="49"/>
      <c r="G14" s="45" t="s">
        <v>48</v>
      </c>
    </row>
    <row r="15" spans="1:11" s="21" customFormat="1">
      <c r="A15" s="33"/>
      <c r="B15" s="34"/>
      <c r="C15" s="46" t="s">
        <v>39</v>
      </c>
      <c r="D15" s="49">
        <v>8</v>
      </c>
      <c r="E15" s="50" t="s">
        <v>48</v>
      </c>
      <c r="F15" s="49"/>
      <c r="G15" s="45" t="s">
        <v>48</v>
      </c>
    </row>
    <row r="16" spans="1:11" s="21" customFormat="1">
      <c r="A16" s="33"/>
      <c r="B16" s="34"/>
      <c r="C16" s="46" t="s">
        <v>40</v>
      </c>
      <c r="D16" s="51">
        <v>7.0000000000000007E-2</v>
      </c>
      <c r="E16" s="50" t="s">
        <v>63</v>
      </c>
      <c r="F16" s="51"/>
      <c r="G16" s="45" t="s">
        <v>63</v>
      </c>
    </row>
    <row r="17" spans="1:10" s="21" customFormat="1">
      <c r="A17" s="33"/>
      <c r="B17" s="34"/>
      <c r="C17" s="46" t="s">
        <v>46</v>
      </c>
      <c r="D17" s="79">
        <v>250</v>
      </c>
      <c r="E17" s="50" t="s">
        <v>47</v>
      </c>
      <c r="F17" s="52">
        <v>2500</v>
      </c>
      <c r="G17" s="87" t="s">
        <v>84</v>
      </c>
    </row>
    <row r="18" spans="1:10" s="21" customFormat="1">
      <c r="A18" s="33"/>
      <c r="B18" s="34"/>
      <c r="C18" s="46" t="s">
        <v>41</v>
      </c>
      <c r="D18" s="100"/>
      <c r="E18" s="50"/>
      <c r="F18" s="49">
        <v>13</v>
      </c>
      <c r="G18" s="53" t="s">
        <v>51</v>
      </c>
    </row>
    <row r="19" spans="1:10" s="21" customFormat="1">
      <c r="A19" s="33"/>
      <c r="B19" s="34"/>
      <c r="C19" s="46" t="s">
        <v>42</v>
      </c>
      <c r="D19" s="49">
        <v>300</v>
      </c>
      <c r="E19" s="44" t="s">
        <v>49</v>
      </c>
      <c r="F19" s="44"/>
      <c r="G19" s="45"/>
    </row>
    <row r="20" spans="1:10" s="21" customFormat="1">
      <c r="A20" s="33"/>
      <c r="B20" s="34"/>
      <c r="C20" s="46" t="s">
        <v>82</v>
      </c>
      <c r="D20" s="85">
        <v>2</v>
      </c>
      <c r="E20" s="54" t="s">
        <v>50</v>
      </c>
      <c r="F20" s="44"/>
      <c r="G20" s="45"/>
    </row>
    <row r="21" spans="1:10" s="21" customFormat="1">
      <c r="A21" s="35"/>
      <c r="B21" s="36"/>
      <c r="C21" s="46" t="s">
        <v>86</v>
      </c>
      <c r="D21" s="85">
        <v>20</v>
      </c>
      <c r="E21" s="54" t="s">
        <v>51</v>
      </c>
      <c r="F21" s="44"/>
      <c r="G21" s="45"/>
    </row>
    <row r="22" spans="1:10" s="21" customFormat="1">
      <c r="A22" s="35"/>
      <c r="B22" s="36"/>
      <c r="C22" s="81" t="s">
        <v>102</v>
      </c>
      <c r="D22" s="91"/>
      <c r="E22" s="54"/>
      <c r="F22" s="91"/>
      <c r="G22" s="45"/>
    </row>
    <row r="23" spans="1:10" s="21" customFormat="1" ht="13.5" thickBot="1">
      <c r="A23" s="31"/>
      <c r="B23" s="32"/>
      <c r="C23" s="83" t="s">
        <v>83</v>
      </c>
      <c r="D23" s="55"/>
      <c r="E23" s="55"/>
      <c r="F23" s="84"/>
      <c r="G23" s="56"/>
    </row>
    <row r="24" spans="1:10" s="21" customFormat="1">
      <c r="A24" s="33"/>
      <c r="B24" s="34"/>
      <c r="C24" s="57"/>
      <c r="D24" s="110" t="s">
        <v>80</v>
      </c>
      <c r="E24" s="111"/>
      <c r="F24" s="110" t="s">
        <v>56</v>
      </c>
      <c r="G24" s="115"/>
      <c r="H24" s="110" t="s">
        <v>52</v>
      </c>
      <c r="I24" s="112"/>
    </row>
    <row r="25" spans="1:10" s="21" customFormat="1">
      <c r="A25" s="33"/>
      <c r="B25" s="34"/>
      <c r="C25" s="58"/>
      <c r="D25" s="92">
        <f>IF(D14&gt;0,D11*((VLOOKUP(D10,Data!C5:J14,6)-VLOOKUP(D10,Data!C5:J14,7)*((D14)^0.5)-VLOOKUP(D10,Data!C5:J14,8)*(((D13)/(D14))^0.5))^2),D12)</f>
        <v>224799.75256560254</v>
      </c>
      <c r="E25" s="10"/>
      <c r="F25" s="92">
        <f>IF(F14&gt;0,F11*((VLOOKUP(F10,Data!C16:J44,6)-VLOOKUP(F10,Data!C16:J44,7)*((F14)^0.5)-VLOOKUP(F10,Data!C16:J44,8)*(((F17)/(F18))^0.5))^2),F12)</f>
        <v>0</v>
      </c>
      <c r="G25" s="10"/>
      <c r="H25" s="116" t="s">
        <v>103</v>
      </c>
      <c r="I25" s="117"/>
      <c r="J25" s="41"/>
    </row>
    <row r="26" spans="1:10" s="21" customFormat="1">
      <c r="A26" s="33"/>
      <c r="B26" s="34"/>
      <c r="C26" s="58" t="s">
        <v>81</v>
      </c>
      <c r="D26" s="60">
        <f>IF(D15&gt;0,D11*((VLOOKUP(D10,Data!C5:J14,6)-VLOOKUP(D10,Data!C5:J14,7)*((D14+D15)^0.5)-VLOOKUP(D10,Data!C5:J14,8)*(((D13+D17*D15)/(D14+D15))^0.5))^2),0)*IF(D25&gt;0,D12/D25,1)</f>
        <v>118541.68617017008</v>
      </c>
      <c r="E26" s="48"/>
      <c r="F26" s="59">
        <f>IF(F$18&gt;0,F$11*((VLOOKUP(F$10,Data!C$16:J$44,6)-VLOOKUP(F$10,Data!C$16:J$44,7)*((F$15+F$14)^0.5)-VLOOKUP(F$10,Data!C$16:J$44,8)*((F$17/F$18)^0.5))^2),0)*IF(F25&gt;0,F12/F25,1)</f>
        <v>0</v>
      </c>
      <c r="G26" s="50"/>
      <c r="H26" s="116"/>
      <c r="I26" s="117"/>
      <c r="J26" s="41"/>
    </row>
    <row r="27" spans="1:10" s="21" customFormat="1">
      <c r="A27" s="33"/>
      <c r="B27" s="34"/>
      <c r="C27" s="58"/>
      <c r="D27" s="42"/>
      <c r="E27" s="44"/>
      <c r="F27" s="42"/>
      <c r="G27" s="44"/>
      <c r="H27" s="116"/>
      <c r="I27" s="117"/>
    </row>
    <row r="28" spans="1:10" s="21" customFormat="1">
      <c r="A28" s="33"/>
      <c r="B28" s="34"/>
      <c r="C28" s="13" t="s">
        <v>59</v>
      </c>
      <c r="D28" s="11" t="s">
        <v>55</v>
      </c>
      <c r="E28" s="10" t="s">
        <v>54</v>
      </c>
      <c r="F28" s="11" t="s">
        <v>55</v>
      </c>
      <c r="G28" s="10" t="s">
        <v>54</v>
      </c>
      <c r="H28" s="11" t="s">
        <v>55</v>
      </c>
      <c r="I28" s="12" t="s">
        <v>54</v>
      </c>
    </row>
    <row r="29" spans="1:10" s="21" customFormat="1">
      <c r="A29" s="33"/>
      <c r="B29" s="34"/>
      <c r="C29" s="58" t="s">
        <v>43</v>
      </c>
      <c r="D29" s="60">
        <f>IF(D15&gt;0,PMT(D16,D15,-(D12-D26))+D16*D26,D15)</f>
        <v>38686.335834338686</v>
      </c>
      <c r="E29" s="61">
        <f>IF(D17*F18&gt;0,D29/D$17/F$18,0)</f>
        <v>11.903487949027287</v>
      </c>
      <c r="F29" s="59">
        <f>IF(F15,PMT(F16,F15,-(F12-F26))+F16*F26,0)</f>
        <v>0</v>
      </c>
      <c r="G29" s="61">
        <f>IF(F$17&gt;0,F29/F17,0)</f>
        <v>0</v>
      </c>
      <c r="H29" s="59">
        <f>IF(F$18*D$17&gt;0,D29*(F$17/F$18)/D$17+F29,0)</f>
        <v>29758.719872568225</v>
      </c>
      <c r="I29" s="62">
        <f>E29+G29</f>
        <v>11.903487949027287</v>
      </c>
    </row>
    <row r="30" spans="1:10" s="21" customFormat="1">
      <c r="A30" s="33"/>
      <c r="B30" s="34"/>
      <c r="C30" s="58" t="s">
        <v>58</v>
      </c>
      <c r="D30" s="14">
        <f>0.01*D12</f>
        <v>3000</v>
      </c>
      <c r="E30" s="15">
        <f>IF(D17*F18&gt;0,D30/D$17/F$18,0)</f>
        <v>0.92307692307692313</v>
      </c>
      <c r="F30" s="14">
        <f>0.01*F12</f>
        <v>0</v>
      </c>
      <c r="G30" s="15">
        <f>IF(F$17&gt;0,F30/F17,0)</f>
        <v>0</v>
      </c>
      <c r="H30" s="101">
        <f>IF(F$18*D$17&gt;0,D30*(F$17/F$18)/D$17+F30,0)</f>
        <v>2307.6923076923081</v>
      </c>
      <c r="I30" s="16">
        <f>E30+G30</f>
        <v>0.92307692307692313</v>
      </c>
    </row>
    <row r="31" spans="1:10" s="21" customFormat="1">
      <c r="A31" s="33"/>
      <c r="B31"/>
      <c r="C31" s="58" t="s">
        <v>44</v>
      </c>
      <c r="D31" s="60">
        <f>SUM(D29:D30)</f>
        <v>41686.335834338686</v>
      </c>
      <c r="E31" s="61">
        <f>SUM(E29:E30)</f>
        <v>12.82656487210421</v>
      </c>
      <c r="F31" s="59">
        <f>SUM(F29:F30)</f>
        <v>0</v>
      </c>
      <c r="G31" s="61">
        <f>SUM(G29:G30)</f>
        <v>0</v>
      </c>
      <c r="H31" s="59">
        <f>SUM(H29:H30)</f>
        <v>32066.412180260533</v>
      </c>
      <c r="I31" s="62">
        <f>E31+G31</f>
        <v>12.82656487210421</v>
      </c>
    </row>
    <row r="32" spans="1:10" s="21" customFormat="1">
      <c r="A32" s="33"/>
      <c r="B32"/>
      <c r="C32" s="58"/>
      <c r="D32" s="63"/>
      <c r="E32" s="50"/>
      <c r="F32" s="42"/>
      <c r="G32" s="50"/>
      <c r="H32" s="42"/>
      <c r="I32" s="45"/>
    </row>
    <row r="33" spans="1:11" s="21" customFormat="1">
      <c r="A33" s="33"/>
      <c r="B33"/>
      <c r="C33" s="13" t="s">
        <v>45</v>
      </c>
      <c r="D33" s="63"/>
      <c r="E33" s="50"/>
      <c r="F33" s="42"/>
      <c r="G33" s="50"/>
      <c r="H33" s="42"/>
      <c r="I33" s="45"/>
    </row>
    <row r="34" spans="1:11" s="21" customFormat="1">
      <c r="A34" s="33"/>
      <c r="B34"/>
      <c r="C34" s="58" t="s">
        <v>61</v>
      </c>
      <c r="D34" s="59">
        <f>IF(D22&gt;0,D22,IF(D15&gt;0,MIN(D11*VLOOKUP($D10,Data!$C5:$J14,3)*((((VLOOKUP($D10,Data!$C5:$J14,5)*0.001)^VLOOKUP($D10,Data!$C5:$J14,4))-((VLOOKUP($D10,Data!$C5:$J14,5)-D17)*0.001)^VLOOKUP($D10,Data!$C5:$J14,4))),D11*VLOOKUP($D10,Data!$C5:$J14,3)*((((D13+D15*D17)*0.001)^VLOOKUP($D10,Data!$C5:$J14,4))-((D13*0.001)^VLOOKUP($D10,Data!$C4:$J14,4)))/D15),0))</f>
        <v>3101.4753126672222</v>
      </c>
      <c r="E34" s="61">
        <f>IF(D$17*F$18&gt;0,D34/D$17/F$18,0)</f>
        <v>0.9543000962052991</v>
      </c>
      <c r="F34" s="59">
        <f>IF(F22&gt;0,F22,IF(F15*F18&gt;0,MIN(F11*VLOOKUP($F10,Data!$C16:$J44,3)*((((VLOOKUP($F10,Data!$C16:$J44,5)*0.001)^VLOOKUP($F10,Data!$C16:$J44,4))-((VLOOKUP($F10,Data!$C16:$J44,5)-F17/F18)*0.001)^VLOOKUP($F10,Data!$C16:$J44,4))),F11*VLOOKUP($F10,Data!$C16:$J44,3)*(((((F14+F15)*(F17/F18))*0.001)^VLOOKUP($F10,Data!$C16:$J44,4))-(((F14*F17/F18)*0.001)^VLOOKUP($F10,Data!$C16:$J44,4)))/F15),0))</f>
        <v>0</v>
      </c>
      <c r="G34" s="61">
        <f>IF(F$17&gt;0,F34/F17,0)</f>
        <v>0</v>
      </c>
      <c r="H34" s="59">
        <f>IF(F$18*D$17&gt;0,D34*(F$17/F$18)/D$17+F34,0)</f>
        <v>2385.7502405132477</v>
      </c>
      <c r="I34" s="62">
        <f>E34+G34</f>
        <v>0.9543000962052991</v>
      </c>
    </row>
    <row r="35" spans="1:11" s="21" customFormat="1">
      <c r="A35" s="33"/>
      <c r="B35"/>
      <c r="C35" s="58" t="s">
        <v>53</v>
      </c>
      <c r="D35" s="64">
        <f>0.044*D19*D20*1.15*D17</f>
        <v>7589.9999999999991</v>
      </c>
      <c r="E35" s="65">
        <f>IF(D$17*F$18&gt;0,D35/D$17/F$18,0)</f>
        <v>2.3353846153846152</v>
      </c>
      <c r="F35" s="59"/>
      <c r="G35" s="50"/>
      <c r="H35" s="102">
        <f>IF(F$18*D$17&gt;0,D35*(F$17/F$18)/D$17+F35,0)</f>
        <v>5838.4615384615381</v>
      </c>
      <c r="I35" s="66">
        <f>E35+G35</f>
        <v>2.3353846153846152</v>
      </c>
    </row>
    <row r="36" spans="1:11" s="21" customFormat="1">
      <c r="A36" s="33"/>
      <c r="B36"/>
      <c r="C36" s="58" t="s">
        <v>62</v>
      </c>
      <c r="D36" s="14">
        <f>1.1*D21*D17</f>
        <v>5500</v>
      </c>
      <c r="E36" s="15">
        <f>IF(D$17*F$18&gt;0,D36/D$17/F$18,0)</f>
        <v>1.6923076923076923</v>
      </c>
      <c r="F36" s="59"/>
      <c r="G36" s="50"/>
      <c r="H36" s="101">
        <f>IF(F$18*D$17&gt;0,D36*(F$17/F$18)/D$17+F36,0)</f>
        <v>4230.7692307692314</v>
      </c>
      <c r="I36" s="16">
        <f>E36+G36</f>
        <v>1.6923076923076923</v>
      </c>
    </row>
    <row r="37" spans="1:11" s="21" customFormat="1">
      <c r="A37" s="33"/>
      <c r="B37"/>
      <c r="C37" s="58" t="s">
        <v>57</v>
      </c>
      <c r="D37" s="60">
        <f>SUM(D34:D36)</f>
        <v>16191.475312667222</v>
      </c>
      <c r="E37" s="61">
        <f>SUM(E34:E36)</f>
        <v>4.9819924038976069</v>
      </c>
      <c r="F37" s="59">
        <f>SUM(F34:F36)</f>
        <v>0</v>
      </c>
      <c r="G37" s="61">
        <f>SUM(G34:G36)</f>
        <v>0</v>
      </c>
      <c r="H37" s="59">
        <f>SUM(H34:H36)</f>
        <v>12454.981009744017</v>
      </c>
      <c r="I37" s="62">
        <f>E37+G37</f>
        <v>4.9819924038976069</v>
      </c>
    </row>
    <row r="38" spans="1:11" s="21" customFormat="1">
      <c r="A38" s="33"/>
      <c r="B38"/>
      <c r="C38" s="58"/>
      <c r="D38" s="63"/>
      <c r="E38" s="61"/>
      <c r="F38" s="59"/>
      <c r="G38" s="61"/>
      <c r="H38" s="59"/>
      <c r="I38" s="62"/>
    </row>
    <row r="39" spans="1:11" s="21" customFormat="1" ht="13.5" thickBot="1">
      <c r="A39" s="33"/>
      <c r="B39"/>
      <c r="C39" s="17" t="s">
        <v>60</v>
      </c>
      <c r="D39" s="67">
        <f t="shared" ref="D39:I39" si="0">D31+D37</f>
        <v>57877.811147005908</v>
      </c>
      <c r="E39" s="68">
        <f t="shared" si="0"/>
        <v>17.808557276001817</v>
      </c>
      <c r="F39" s="69">
        <f t="shared" si="0"/>
        <v>0</v>
      </c>
      <c r="G39" s="68">
        <f t="shared" si="0"/>
        <v>0</v>
      </c>
      <c r="H39" s="69">
        <f t="shared" si="0"/>
        <v>44521.39319000455</v>
      </c>
      <c r="I39" s="70">
        <f t="shared" si="0"/>
        <v>17.808557276001817</v>
      </c>
    </row>
    <row r="40" spans="1:11">
      <c r="A40" s="33"/>
      <c r="D40" s="6"/>
      <c r="F40" s="6"/>
      <c r="H40" s="6"/>
    </row>
    <row r="41" spans="1:11">
      <c r="A41" s="33"/>
    </row>
    <row r="42" spans="1:11" s="21" customFormat="1">
      <c r="A42" s="33"/>
      <c r="B42"/>
      <c r="C42" s="88" t="s">
        <v>85</v>
      </c>
      <c r="D42" s="77"/>
      <c r="E42" s="22"/>
      <c r="F42" s="23"/>
      <c r="G42" s="23"/>
      <c r="H42" s="23"/>
      <c r="I42" s="23"/>
    </row>
    <row r="43" spans="1:11" s="21" customFormat="1">
      <c r="A43" s="33"/>
      <c r="B43"/>
      <c r="C43" s="29" t="s">
        <v>68</v>
      </c>
      <c r="D43" s="24"/>
      <c r="E43" s="24"/>
      <c r="F43" s="24"/>
      <c r="G43" s="24"/>
      <c r="H43" s="24"/>
      <c r="I43" s="24"/>
    </row>
    <row r="44" spans="1:11" s="8" customFormat="1">
      <c r="A44" s="33"/>
      <c r="B44"/>
      <c r="C44" s="38" t="s">
        <v>72</v>
      </c>
      <c r="E44" s="25"/>
      <c r="F44" s="25"/>
      <c r="G44" s="25"/>
      <c r="H44" s="25"/>
      <c r="I44" s="25"/>
    </row>
    <row r="45" spans="1:11" s="8" customFormat="1">
      <c r="A45" s="33"/>
      <c r="B45"/>
      <c r="C45" s="39">
        <f ca="1">TODAY()</f>
        <v>39925</v>
      </c>
      <c r="D45" s="39"/>
      <c r="E45" s="25"/>
      <c r="F45" s="25"/>
      <c r="G45" s="25"/>
      <c r="H45" s="25"/>
      <c r="I45" s="25"/>
    </row>
    <row r="46" spans="1:11">
      <c r="A46" s="33"/>
      <c r="C46" t="s">
        <v>65</v>
      </c>
    </row>
    <row r="47" spans="1:11">
      <c r="A47" s="33"/>
      <c r="C47" s="26" t="s">
        <v>69</v>
      </c>
      <c r="D47" s="27"/>
      <c r="E47" s="27"/>
      <c r="F47" s="27"/>
      <c r="G47" s="27"/>
      <c r="H47" s="27"/>
      <c r="I47" s="27"/>
      <c r="J47" s="27"/>
      <c r="K47" s="27"/>
    </row>
    <row r="48" spans="1:11" ht="13.5" customHeight="1">
      <c r="A48" s="33"/>
      <c r="C48" s="106" t="s">
        <v>70</v>
      </c>
      <c r="D48" s="106"/>
      <c r="E48" s="106"/>
      <c r="F48" s="106"/>
      <c r="G48" s="106"/>
      <c r="H48" s="106"/>
      <c r="I48" s="106"/>
      <c r="J48" s="28"/>
      <c r="K48" s="28"/>
    </row>
    <row r="49" spans="1:11" ht="16.5" customHeight="1">
      <c r="A49" s="33"/>
      <c r="C49" s="106"/>
      <c r="D49" s="106"/>
      <c r="E49" s="106"/>
      <c r="F49" s="106"/>
      <c r="G49" s="106"/>
      <c r="H49" s="106"/>
      <c r="I49" s="106"/>
      <c r="J49" s="28"/>
      <c r="K49" s="28"/>
    </row>
    <row r="50" spans="1:11" ht="18" customHeight="1">
      <c r="A50" s="33"/>
      <c r="C50" s="106" t="s">
        <v>78</v>
      </c>
      <c r="D50" s="106"/>
      <c r="E50" s="106"/>
      <c r="F50" s="106"/>
      <c r="G50" s="106"/>
      <c r="H50" s="106"/>
      <c r="I50" s="106"/>
      <c r="J50" s="28"/>
      <c r="K50" s="28"/>
    </row>
  </sheetData>
  <mergeCells count="9">
    <mergeCell ref="C50:I50"/>
    <mergeCell ref="C48:I49"/>
    <mergeCell ref="C3:G3"/>
    <mergeCell ref="C5:D5"/>
    <mergeCell ref="D24:E24"/>
    <mergeCell ref="H24:I24"/>
    <mergeCell ref="D8:E8"/>
    <mergeCell ref="F24:G24"/>
    <mergeCell ref="H25:I27"/>
  </mergeCells>
  <phoneticPr fontId="0" type="noConversion"/>
  <dataValidations count="11">
    <dataValidation allowBlank="1" showInputMessage="1" showErrorMessage="1" prompt="Enter zero for a new machine." sqref="F14 D13:D14"/>
    <dataValidation allowBlank="1" showInputMessage="1" showErrorMessage="1" prompt="Current list price of a similar new machine.  Used to estimate the value at the end of the ownership period (salvage value) and annual repair costs." sqref="D11"/>
    <dataValidation allowBlank="1" showInputMessage="1" showErrorMessage="1" prompt="Estimated list price of a new similar implement or attachment.  Used to estimate the salvage value and annual repair costs." sqref="F11"/>
    <dataValidation allowBlank="1" showInputMessage="1" showErrorMessage="1" prompt="Purchase price for a machine to be acquired or acquired recently, including cash paid and the value of any trade-in item, estimated current market value for a machine that is already owned." sqref="F12"/>
    <dataValidation allowBlank="1" showInputMessage="1" showErrorMessage="1" prompt="The number of remaining years you expect to own this machine." sqref="D15 F15"/>
    <dataValidation allowBlank="1" showInputMessage="1" showErrorMessage="1" prompt="Approximate number of hours the power unit is used each year.  Use engine hours for combines." sqref="D17"/>
    <dataValidation allowBlank="1" showInputMessage="1" showErrorMessage="1" prompt="Enter the number of acres, tons or other units accomplished per hour.  Units should be the same as entered for annual use._x000a_Field capacity can be estimated by: width (inches) x speed (mph) x field efficiency (%) / 825." sqref="F18"/>
    <dataValidation allowBlank="1" showInputMessage="1" showErrorMessage="1" prompt="Purchase price for a machine to be acquired or acquired recently, including cash paid and the value of any trade-in item, or estimated current market value for a machine that is already owned." sqref="D12"/>
    <dataValidation allowBlank="1" showInputMessage="1" showErrorMessage="1" prompt="Enter expected annual costs for repairs and maintainance, including the owner's time.  Leave the cell blank if you wish to use the estimated costs based on engineering coefficients." sqref="D22 F22"/>
    <dataValidation allowBlank="1" showInputMessage="1" showErrorMessage="1" prompt="Use the current interest rate for financing the machine, or the interest rate you could earn by investing the funds elsewhere, or an average of the two." sqref="F16 D16"/>
    <dataValidation allowBlank="1" showInputMessage="1" showErrorMessage="1" prompt="Enter the number of acres covered each year with the implement or attachment, or the number of tons or other units produced or processed." sqref="F17"/>
  </dataValidations>
  <hyperlinks>
    <hyperlink ref="C43" r:id="rId1"/>
    <hyperlink ref="C3" r:id="rId2" display="Estimating Farm Machinery Costs"/>
  </hyperlinks>
  <pageMargins left="0.75" right="0.75" top="0.75" bottom="0.75" header="0.5" footer="0.5"/>
  <pageSetup scale="67" orientation="portrait" r:id="rId3"/>
  <headerFooter alignWithMargins="0"/>
  <drawing r:id="rId4"/>
  <legacyDrawing r:id="rId5"/>
</worksheet>
</file>

<file path=xl/worksheets/sheet2.xml><?xml version="1.0" encoding="utf-8"?>
<worksheet xmlns="http://schemas.openxmlformats.org/spreadsheetml/2006/main" xmlns:r="http://schemas.openxmlformats.org/officeDocument/2006/relationships">
  <sheetPr codeName="Sheet2">
    <pageSetUpPr fitToPage="1"/>
  </sheetPr>
  <dimension ref="A1:K51"/>
  <sheetViews>
    <sheetView showGridLines="0" tabSelected="1" zoomScaleNormal="100" workbookViewId="0">
      <selection activeCell="C3" sqref="C3:G3"/>
    </sheetView>
  </sheetViews>
  <sheetFormatPr defaultRowHeight="12.75"/>
  <cols>
    <col min="1" max="1" width="1.7109375" style="76" customWidth="1"/>
    <col min="2" max="2" width="1.7109375" customWidth="1"/>
    <col min="3" max="3" width="40.7109375" customWidth="1"/>
    <col min="4" max="4" width="13.7109375" customWidth="1"/>
    <col min="5" max="6" width="12.7109375" customWidth="1"/>
    <col min="7" max="7" width="22.42578125" customWidth="1"/>
    <col min="8" max="8" width="13.28515625" customWidth="1"/>
    <col min="9" max="9" width="12.5703125" customWidth="1"/>
  </cols>
  <sheetData>
    <row r="1" spans="1:11" s="30" customFormat="1" ht="18.75" thickBot="1">
      <c r="C1" s="30" t="s">
        <v>66</v>
      </c>
    </row>
    <row r="2" spans="1:11" s="8" customFormat="1" ht="15.75" thickTop="1">
      <c r="A2" s="31"/>
      <c r="B2" s="32"/>
      <c r="C2" s="37" t="s">
        <v>117</v>
      </c>
      <c r="D2" s="7"/>
    </row>
    <row r="3" spans="1:11" s="8" customFormat="1" ht="12.75" customHeight="1">
      <c r="A3" s="31"/>
      <c r="B3" s="32"/>
      <c r="C3" s="107" t="s">
        <v>79</v>
      </c>
      <c r="D3" s="107"/>
      <c r="E3" s="107"/>
      <c r="F3" s="107"/>
      <c r="G3" s="107"/>
      <c r="H3" s="18"/>
      <c r="I3" s="18"/>
      <c r="J3" s="18"/>
      <c r="K3" s="18"/>
    </row>
    <row r="4" spans="1:11" s="8" customFormat="1">
      <c r="A4" s="31"/>
      <c r="B4" s="32"/>
      <c r="E4" s="19"/>
      <c r="F4" s="19"/>
      <c r="G4" s="19"/>
      <c r="H4" s="19"/>
      <c r="I4" s="19"/>
      <c r="J4" s="18"/>
      <c r="K4" s="18"/>
    </row>
    <row r="5" spans="1:11" s="8" customFormat="1">
      <c r="A5" s="31"/>
      <c r="B5" s="32"/>
      <c r="C5" s="108" t="s">
        <v>76</v>
      </c>
      <c r="D5" s="109"/>
      <c r="E5" s="71"/>
      <c r="F5" s="71"/>
      <c r="G5" s="71"/>
      <c r="H5" s="19"/>
      <c r="I5" s="19"/>
      <c r="J5" s="18"/>
      <c r="K5" s="18"/>
    </row>
    <row r="6" spans="1:11" s="8" customFormat="1">
      <c r="A6" s="33"/>
      <c r="B6" s="34"/>
      <c r="C6" s="78" t="s">
        <v>71</v>
      </c>
      <c r="D6" s="93"/>
      <c r="E6" s="20"/>
    </row>
    <row r="7" spans="1:11" s="133" customFormat="1" ht="16.5" customHeight="1">
      <c r="A7" s="127"/>
      <c r="B7" s="128"/>
      <c r="C7" s="129" t="s">
        <v>116</v>
      </c>
      <c r="D7" s="130"/>
      <c r="E7" s="130"/>
      <c r="F7" s="130"/>
      <c r="G7" s="131"/>
      <c r="H7" s="132"/>
      <c r="I7" s="21"/>
    </row>
    <row r="8" spans="1:11" ht="16.5" thickBot="1">
      <c r="A8" s="33"/>
      <c r="B8" s="34"/>
      <c r="C8" s="75"/>
      <c r="D8" s="75"/>
      <c r="E8" s="75"/>
      <c r="F8" s="75"/>
      <c r="G8" s="75"/>
    </row>
    <row r="9" spans="1:11" s="21" customFormat="1">
      <c r="A9" s="33"/>
      <c r="B9" s="34"/>
      <c r="C9" s="94" t="s">
        <v>73</v>
      </c>
      <c r="D9" s="118" t="s">
        <v>37</v>
      </c>
      <c r="E9" s="114">
        <v>1</v>
      </c>
      <c r="F9" s="95" t="s">
        <v>56</v>
      </c>
      <c r="G9" s="40"/>
      <c r="H9" s="41"/>
    </row>
    <row r="10" spans="1:11" s="21" customFormat="1" ht="8.25" customHeight="1">
      <c r="A10" s="33"/>
      <c r="B10" s="34"/>
      <c r="C10" s="73"/>
      <c r="D10" s="42"/>
      <c r="E10" s="44"/>
      <c r="F10" s="42"/>
      <c r="G10" s="45"/>
      <c r="J10" s="41"/>
    </row>
    <row r="11" spans="1:11" s="21" customFormat="1">
      <c r="A11" s="33"/>
      <c r="B11" s="34"/>
      <c r="C11" s="74" t="s">
        <v>36</v>
      </c>
      <c r="D11" s="43">
        <v>5</v>
      </c>
      <c r="E11" s="50"/>
      <c r="F11" s="72">
        <v>7</v>
      </c>
      <c r="G11" s="45"/>
    </row>
    <row r="12" spans="1:11" s="21" customFormat="1">
      <c r="A12" s="33"/>
      <c r="B12" s="34"/>
      <c r="C12" s="46" t="s">
        <v>38</v>
      </c>
      <c r="D12" s="47">
        <v>160000</v>
      </c>
      <c r="E12" s="48"/>
      <c r="F12" s="47"/>
      <c r="G12" s="45"/>
    </row>
    <row r="13" spans="1:11" s="21" customFormat="1">
      <c r="A13" s="33"/>
      <c r="B13" s="34"/>
      <c r="C13" s="46" t="s">
        <v>77</v>
      </c>
      <c r="D13" s="47">
        <v>125000</v>
      </c>
      <c r="E13" s="48"/>
      <c r="F13" s="47"/>
      <c r="G13" s="45"/>
      <c r="J13" s="41"/>
    </row>
    <row r="14" spans="1:11" s="21" customFormat="1">
      <c r="A14" s="33"/>
      <c r="B14" s="34"/>
      <c r="C14" s="46" t="s">
        <v>74</v>
      </c>
      <c r="D14" s="79">
        <v>2500</v>
      </c>
      <c r="E14" s="44" t="s">
        <v>47</v>
      </c>
      <c r="F14" s="86"/>
      <c r="G14" s="45"/>
    </row>
    <row r="15" spans="1:11" s="21" customFormat="1">
      <c r="A15" s="33"/>
      <c r="B15" s="34"/>
      <c r="C15" s="46" t="s">
        <v>75</v>
      </c>
      <c r="D15" s="49">
        <v>4</v>
      </c>
      <c r="E15" s="50" t="s">
        <v>48</v>
      </c>
      <c r="F15" s="49"/>
      <c r="G15" s="45" t="s">
        <v>48</v>
      </c>
    </row>
    <row r="16" spans="1:11" s="21" customFormat="1">
      <c r="A16" s="33"/>
      <c r="B16" s="34"/>
      <c r="C16" s="46" t="s">
        <v>39</v>
      </c>
      <c r="D16" s="49">
        <v>15</v>
      </c>
      <c r="E16" s="50" t="s">
        <v>48</v>
      </c>
      <c r="F16" s="49"/>
      <c r="G16" s="45" t="s">
        <v>48</v>
      </c>
    </row>
    <row r="17" spans="1:10" s="21" customFormat="1">
      <c r="A17" s="33"/>
      <c r="B17" s="34"/>
      <c r="C17" s="46" t="s">
        <v>40</v>
      </c>
      <c r="D17" s="51">
        <v>7.0000000000000007E-2</v>
      </c>
      <c r="E17" s="50" t="s">
        <v>63</v>
      </c>
      <c r="F17" s="51"/>
      <c r="G17" s="45" t="s">
        <v>63</v>
      </c>
    </row>
    <row r="18" spans="1:10" s="21" customFormat="1">
      <c r="A18" s="33"/>
      <c r="B18" s="34"/>
      <c r="C18" s="46" t="s">
        <v>46</v>
      </c>
      <c r="D18" s="79">
        <v>600</v>
      </c>
      <c r="E18" s="50" t="s">
        <v>47</v>
      </c>
      <c r="F18" s="52">
        <v>2000</v>
      </c>
      <c r="G18" s="87" t="s">
        <v>84</v>
      </c>
    </row>
    <row r="19" spans="1:10" s="21" customFormat="1">
      <c r="A19" s="33"/>
      <c r="B19" s="34"/>
      <c r="C19" s="46" t="s">
        <v>41</v>
      </c>
      <c r="D19" s="100"/>
      <c r="E19" s="50"/>
      <c r="F19" s="49">
        <v>10</v>
      </c>
      <c r="G19" s="53" t="s">
        <v>51</v>
      </c>
    </row>
    <row r="20" spans="1:10" s="21" customFormat="1">
      <c r="A20" s="33"/>
      <c r="B20" s="34"/>
      <c r="C20" s="46" t="s">
        <v>42</v>
      </c>
      <c r="D20" s="49">
        <v>400</v>
      </c>
      <c r="E20" s="44" t="s">
        <v>49</v>
      </c>
      <c r="F20" s="44"/>
      <c r="G20" s="45"/>
    </row>
    <row r="21" spans="1:10" s="21" customFormat="1">
      <c r="A21" s="33"/>
      <c r="B21" s="34"/>
      <c r="C21" s="46" t="s">
        <v>82</v>
      </c>
      <c r="D21" s="85">
        <v>3</v>
      </c>
      <c r="E21" s="54" t="s">
        <v>50</v>
      </c>
      <c r="F21" s="44"/>
      <c r="G21" s="45"/>
    </row>
    <row r="22" spans="1:10" s="21" customFormat="1">
      <c r="A22" s="35"/>
      <c r="B22" s="36"/>
      <c r="C22" s="46" t="s">
        <v>86</v>
      </c>
      <c r="D22" s="85">
        <v>15</v>
      </c>
      <c r="E22" s="54" t="s">
        <v>51</v>
      </c>
      <c r="F22" s="44"/>
      <c r="G22" s="45"/>
    </row>
    <row r="23" spans="1:10" s="21" customFormat="1">
      <c r="A23" s="35"/>
      <c r="B23" s="36"/>
      <c r="C23" s="81" t="s">
        <v>102</v>
      </c>
      <c r="D23" s="91"/>
      <c r="E23" s="54"/>
      <c r="F23" s="91"/>
      <c r="G23" s="45"/>
    </row>
    <row r="24" spans="1:10" s="21" customFormat="1" ht="13.5" thickBot="1">
      <c r="A24" s="31"/>
      <c r="B24" s="32"/>
      <c r="C24" s="83" t="s">
        <v>83</v>
      </c>
      <c r="D24" s="55"/>
      <c r="E24" s="55"/>
      <c r="F24" s="96"/>
      <c r="G24" s="56"/>
    </row>
    <row r="25" spans="1:10" s="21" customFormat="1">
      <c r="A25" s="33"/>
      <c r="B25" s="34"/>
      <c r="C25" s="57"/>
      <c r="D25" s="110" t="s">
        <v>80</v>
      </c>
      <c r="E25" s="111"/>
      <c r="F25" s="110" t="s">
        <v>56</v>
      </c>
      <c r="G25" s="115"/>
      <c r="H25" s="110" t="s">
        <v>52</v>
      </c>
      <c r="I25" s="112"/>
    </row>
    <row r="26" spans="1:10" s="21" customFormat="1">
      <c r="A26" s="33"/>
      <c r="B26" s="34"/>
      <c r="C26" s="58"/>
      <c r="D26" s="92">
        <f>IF(D15&gt;0,D12*((VLOOKUP(D11,Data!C5:J14,6)-VLOOKUP(D11,Data!C5:J14,7)*((D15)^0.5)-VLOOKUP(D11,Data!C5:J14,8)*(((D14)/(D15))^0.5))^2),D13)</f>
        <v>58622.094399999994</v>
      </c>
      <c r="E26" s="10"/>
      <c r="F26" s="92">
        <f>IF(F15&gt;0,F12*((VLOOKUP(F11,Data!C16:J44,6)-VLOOKUP(F11,Data!C16:J44,7)*((F15)^0.5)-VLOOKUP(F11,Data!C16:J44,8)*(((F18)/(F19))^0.5))^2),F13)</f>
        <v>0</v>
      </c>
      <c r="G26" s="10"/>
      <c r="H26" s="116" t="s">
        <v>103</v>
      </c>
      <c r="I26" s="117"/>
      <c r="J26" s="41"/>
    </row>
    <row r="27" spans="1:10" s="21" customFormat="1">
      <c r="A27" s="33"/>
      <c r="B27" s="34"/>
      <c r="C27" s="58" t="s">
        <v>81</v>
      </c>
      <c r="D27" s="60">
        <f>IF(D16&gt;0,D12*((VLOOKUP(D11,Data!C5:J14,6)-VLOOKUP(D11,Data!C5:J14,7)*((D15+D16)^0.5)-VLOOKUP(D11,Data!C5:J14,8)*(((D14+D18*D16)/(D15+D16))^0.5))^2),0)*IF(D26&gt;0,D13/D26,1)</f>
        <v>16573.331538666407</v>
      </c>
      <c r="E27" s="48"/>
      <c r="F27" s="59">
        <f>IF(F$19&gt;0,F$12*((VLOOKUP(F$11,Data!C$16:J$44,6)-VLOOKUP(F$11,Data!C$16:J$44,7)*((F$16+F$15)^0.5)-VLOOKUP(F$11,Data!C$16:J$44,8)*((F$18/F$19)^0.5))^2),0)*IF(F26&gt;0,F13/F26,1)</f>
        <v>0</v>
      </c>
      <c r="G27" s="50"/>
      <c r="H27" s="116"/>
      <c r="I27" s="117"/>
      <c r="J27" s="41"/>
    </row>
    <row r="28" spans="1:10" s="21" customFormat="1">
      <c r="A28" s="33"/>
      <c r="B28" s="34"/>
      <c r="C28" s="58"/>
      <c r="D28" s="42"/>
      <c r="E28" s="44"/>
      <c r="F28" s="42"/>
      <c r="G28" s="44"/>
      <c r="H28" s="116"/>
      <c r="I28" s="117"/>
    </row>
    <row r="29" spans="1:10" s="21" customFormat="1">
      <c r="A29" s="33"/>
      <c r="B29" s="34"/>
      <c r="C29" s="97" t="s">
        <v>59</v>
      </c>
      <c r="D29" s="11" t="s">
        <v>55</v>
      </c>
      <c r="E29" s="10" t="s">
        <v>54</v>
      </c>
      <c r="F29" s="11" t="s">
        <v>55</v>
      </c>
      <c r="G29" s="10" t="s">
        <v>54</v>
      </c>
      <c r="H29" s="11" t="s">
        <v>55</v>
      </c>
      <c r="I29" s="12" t="s">
        <v>54</v>
      </c>
    </row>
    <row r="30" spans="1:10" s="21" customFormat="1">
      <c r="A30" s="33"/>
      <c r="B30" s="34"/>
      <c r="C30" s="58" t="s">
        <v>43</v>
      </c>
      <c r="D30" s="60">
        <f>IF(D16&gt;0,PMT(D17,D16,-(D13-D27))+D17*D27,D16)</f>
        <v>13064.798578999233</v>
      </c>
      <c r="E30" s="61">
        <f>IF(D18*F19&gt;0,D30/D$18/F$19,0)</f>
        <v>2.1774664298332054</v>
      </c>
      <c r="F30" s="59">
        <f>IF(F16,PMT(F17,F16,-(F13-F27))+F17*F27,0)</f>
        <v>0</v>
      </c>
      <c r="G30" s="61">
        <f>IF(F$18&gt;0,F30/F18,0)</f>
        <v>0</v>
      </c>
      <c r="H30" s="59">
        <f>IF(F$19*D$18&gt;0,D30*(F$18/F$19)/D$18+F30,0)</f>
        <v>4354.9328596664109</v>
      </c>
      <c r="I30" s="62">
        <f>E30+G30</f>
        <v>2.1774664298332054</v>
      </c>
    </row>
    <row r="31" spans="1:10" s="21" customFormat="1">
      <c r="A31" s="33"/>
      <c r="B31" s="34"/>
      <c r="C31" s="58" t="s">
        <v>58</v>
      </c>
      <c r="D31" s="14">
        <f>0.01*D13</f>
        <v>1250</v>
      </c>
      <c r="E31" s="15">
        <f>IF(D18*F19&gt;0,D31/D$18/F$19,0)</f>
        <v>0.20833333333333334</v>
      </c>
      <c r="F31" s="14">
        <f>0.01*F13</f>
        <v>0</v>
      </c>
      <c r="G31" s="15">
        <f>IF(F$18&gt;0,F31/F18,0)</f>
        <v>0</v>
      </c>
      <c r="H31" s="101">
        <f>IF(F$19*D$18&gt;0,D31*(F$18/F$19)/D$18+F31,0)</f>
        <v>416.66666666666669</v>
      </c>
      <c r="I31" s="16">
        <f>E31+G31</f>
        <v>0.20833333333333334</v>
      </c>
    </row>
    <row r="32" spans="1:10" s="21" customFormat="1">
      <c r="A32" s="33"/>
      <c r="B32"/>
      <c r="C32" s="58" t="s">
        <v>44</v>
      </c>
      <c r="D32" s="60">
        <f>SUM(D30:D31)</f>
        <v>14314.798578999233</v>
      </c>
      <c r="E32" s="61">
        <f>SUM(E30:E31)</f>
        <v>2.3857997631665389</v>
      </c>
      <c r="F32" s="59">
        <f>SUM(F30:F31)</f>
        <v>0</v>
      </c>
      <c r="G32" s="61">
        <f>SUM(G30:G31)</f>
        <v>0</v>
      </c>
      <c r="H32" s="59">
        <f>SUM(H30:H31)</f>
        <v>4771.5995263330778</v>
      </c>
      <c r="I32" s="62">
        <f>E32+G32</f>
        <v>2.3857997631665389</v>
      </c>
    </row>
    <row r="33" spans="1:11" s="21" customFormat="1">
      <c r="A33" s="33"/>
      <c r="B33"/>
      <c r="C33" s="58"/>
      <c r="D33" s="63"/>
      <c r="E33" s="50"/>
      <c r="F33" s="42"/>
      <c r="G33" s="50"/>
      <c r="H33" s="42"/>
      <c r="I33" s="45"/>
    </row>
    <row r="34" spans="1:11" s="21" customFormat="1">
      <c r="A34" s="33"/>
      <c r="B34"/>
      <c r="C34" s="97" t="s">
        <v>45</v>
      </c>
      <c r="D34" s="63"/>
      <c r="E34" s="50"/>
      <c r="F34" s="42"/>
      <c r="G34" s="50"/>
      <c r="H34" s="42"/>
      <c r="I34" s="45"/>
    </row>
    <row r="35" spans="1:11" s="21" customFormat="1">
      <c r="A35" s="33"/>
      <c r="B35"/>
      <c r="C35" s="58" t="s">
        <v>61</v>
      </c>
      <c r="D35" s="59">
        <f>IF(D23&gt;0,D23,IF(D16&gt;0,MIN(D12*VLOOKUP($D11,Data!$C5:$J14,3)*((((VLOOKUP($D11,Data!$C5:$J14,5)*0.001)^VLOOKUP($D11,Data!$C5:$J14,4))-((VLOOKUP($D11,Data!$C5:$J14,5)-D18)*0.001)^VLOOKUP($D11,Data!$C5:$J14,4))),D12*VLOOKUP($D11,Data!$C5:$J14,3)*((((D14+D16*D18)*0.001)^VLOOKUP($D11,Data!$C5:$J14,4))-((D14*0.001)^VLOOKUP($D11,Data!$C4:$J14,4)))/D16),0))</f>
        <v>6012.9702955936918</v>
      </c>
      <c r="E35" s="61">
        <f>IF(D$18*F$19&gt;0,D35/D$18/F$19,0)</f>
        <v>1.002161715932282</v>
      </c>
      <c r="F35" s="59">
        <f>IF(F23&gt;0,F23,IF(F16*F19&gt;0,MIN(F12*VLOOKUP($F11,Data!$C16:$J44,3)*((((VLOOKUP($F11,Data!$C16:$J44,5)*0.001)^VLOOKUP($F11,Data!$C16:$J44,4))-((VLOOKUP($F11,Data!$C16:$J44,5)-F18/F19)*0.001)^VLOOKUP($F11,Data!$C16:$J44,4))),F12*VLOOKUP($F11,Data!$C16:$J44,3)*(((((F15+F16)*(F18/F19))*0.001)^VLOOKUP($F11,Data!$C16:$J44,4))-(((F15*F18/F19)*0.001)^VLOOKUP($F11,Data!$C16:$J44,4)))/F16),0))</f>
        <v>0</v>
      </c>
      <c r="G35" s="61">
        <f>IF(F$18&gt;0,F35/F18,0)</f>
        <v>0</v>
      </c>
      <c r="H35" s="59">
        <f>IF(F$19*D$18&gt;0,D35*(F$18/F$19)/D$18+F35,0)</f>
        <v>2004.3234318645641</v>
      </c>
      <c r="I35" s="62">
        <f>E35+G35</f>
        <v>1.002161715932282</v>
      </c>
    </row>
    <row r="36" spans="1:11" s="21" customFormat="1">
      <c r="A36" s="33"/>
      <c r="B36"/>
      <c r="C36" s="58" t="s">
        <v>53</v>
      </c>
      <c r="D36" s="64">
        <f>0.044*D20*D21*1.15*D18</f>
        <v>36431.999999999993</v>
      </c>
      <c r="E36" s="65">
        <f>IF(D$18*F$19&gt;0,D36/D$18/F$19,0)</f>
        <v>6.0719999999999983</v>
      </c>
      <c r="F36" s="59"/>
      <c r="G36" s="50"/>
      <c r="H36" s="102">
        <f>IF(F$19*D$18&gt;0,D36*(F$18/F$19)/D$18+F36,0)</f>
        <v>12143.999999999996</v>
      </c>
      <c r="I36" s="66">
        <f>E36+G36</f>
        <v>6.0719999999999983</v>
      </c>
    </row>
    <row r="37" spans="1:11" s="21" customFormat="1">
      <c r="A37" s="33"/>
      <c r="B37"/>
      <c r="C37" s="58" t="s">
        <v>62</v>
      </c>
      <c r="D37" s="14">
        <f>1.1*D22*D18</f>
        <v>9900</v>
      </c>
      <c r="E37" s="15">
        <f>IF(D$18*F$19&gt;0,D37/D$18/F$19,0)</f>
        <v>1.65</v>
      </c>
      <c r="F37" s="59"/>
      <c r="G37" s="50"/>
      <c r="H37" s="101">
        <f>IF(F$19*D$18&gt;0,D37*(F$18/F$19)/D$18+F37,0)</f>
        <v>3300</v>
      </c>
      <c r="I37" s="16">
        <f>E37+G37</f>
        <v>1.65</v>
      </c>
    </row>
    <row r="38" spans="1:11" s="21" customFormat="1">
      <c r="A38" s="33"/>
      <c r="B38"/>
      <c r="C38" s="58" t="s">
        <v>57</v>
      </c>
      <c r="D38" s="60">
        <f>SUM(D35:D37)</f>
        <v>52344.970295593681</v>
      </c>
      <c r="E38" s="61">
        <f>SUM(E35:E37)</f>
        <v>8.7241617159322811</v>
      </c>
      <c r="F38" s="59">
        <f>SUM(F35:F37)</f>
        <v>0</v>
      </c>
      <c r="G38" s="61">
        <f>SUM(G35:G37)</f>
        <v>0</v>
      </c>
      <c r="H38" s="59">
        <f>SUM(H35:H37)</f>
        <v>17448.323431864563</v>
      </c>
      <c r="I38" s="62">
        <f>E38+Blank!G38</f>
        <v>8.7241617159322811</v>
      </c>
    </row>
    <row r="39" spans="1:11" s="21" customFormat="1">
      <c r="A39" s="33"/>
      <c r="B39"/>
      <c r="C39" s="58"/>
      <c r="D39" s="63"/>
      <c r="E39" s="61"/>
      <c r="F39" s="59"/>
      <c r="G39" s="61"/>
      <c r="H39" s="59"/>
      <c r="I39" s="62"/>
    </row>
    <row r="40" spans="1:11" s="21" customFormat="1" ht="13.5" thickBot="1">
      <c r="A40" s="33"/>
      <c r="B40"/>
      <c r="C40" s="98" t="s">
        <v>60</v>
      </c>
      <c r="D40" s="67">
        <f t="shared" ref="D40:I40" si="0">D32+D38</f>
        <v>66659.768874592919</v>
      </c>
      <c r="E40" s="68">
        <f t="shared" si="0"/>
        <v>11.109961479098819</v>
      </c>
      <c r="F40" s="69">
        <f t="shared" si="0"/>
        <v>0</v>
      </c>
      <c r="G40" s="68">
        <f t="shared" si="0"/>
        <v>0</v>
      </c>
      <c r="H40" s="69">
        <f t="shared" si="0"/>
        <v>22219.92295819764</v>
      </c>
      <c r="I40" s="70">
        <f t="shared" si="0"/>
        <v>11.109961479098819</v>
      </c>
      <c r="K40" s="21">
        <f>5280*8.25</f>
        <v>43560</v>
      </c>
    </row>
    <row r="41" spans="1:11">
      <c r="A41" s="33"/>
      <c r="D41" s="6"/>
      <c r="F41" s="6"/>
      <c r="H41" s="6"/>
    </row>
    <row r="42" spans="1:11">
      <c r="A42" s="33"/>
    </row>
    <row r="43" spans="1:11" s="21" customFormat="1">
      <c r="A43" s="33"/>
      <c r="B43"/>
      <c r="C43" s="88" t="s">
        <v>85</v>
      </c>
      <c r="D43" s="77"/>
      <c r="E43" s="99"/>
      <c r="F43" s="23"/>
      <c r="G43" s="23"/>
      <c r="H43" s="23"/>
      <c r="I43" s="23"/>
    </row>
    <row r="44" spans="1:11" s="21" customFormat="1">
      <c r="A44" s="33"/>
      <c r="B44"/>
      <c r="C44" s="29" t="s">
        <v>68</v>
      </c>
      <c r="D44" s="24"/>
      <c r="E44" s="24"/>
      <c r="F44" s="24"/>
      <c r="G44" s="24"/>
      <c r="H44" s="24"/>
      <c r="I44" s="24"/>
    </row>
    <row r="45" spans="1:11" s="8" customFormat="1">
      <c r="A45" s="33"/>
      <c r="B45"/>
      <c r="C45" s="38" t="s">
        <v>72</v>
      </c>
      <c r="E45" s="25"/>
      <c r="F45" s="25"/>
      <c r="G45" s="25"/>
      <c r="H45" s="25"/>
      <c r="I45" s="25"/>
    </row>
    <row r="46" spans="1:11" s="8" customFormat="1">
      <c r="A46" s="33"/>
      <c r="B46"/>
      <c r="C46" s="39">
        <f ca="1">TODAY()</f>
        <v>39925</v>
      </c>
      <c r="D46" s="39"/>
      <c r="E46" s="25"/>
      <c r="F46" s="25"/>
      <c r="G46" s="25"/>
      <c r="H46" s="25"/>
      <c r="I46" s="25"/>
    </row>
    <row r="47" spans="1:11">
      <c r="A47" s="33"/>
      <c r="C47" t="s">
        <v>65</v>
      </c>
    </row>
    <row r="48" spans="1:11">
      <c r="A48" s="33"/>
      <c r="C48" s="26" t="s">
        <v>69</v>
      </c>
      <c r="D48" s="27"/>
      <c r="E48" s="27"/>
      <c r="F48" s="27"/>
      <c r="G48" s="27"/>
      <c r="H48" s="27"/>
      <c r="I48" s="27"/>
      <c r="J48" s="27"/>
      <c r="K48" s="27"/>
    </row>
    <row r="49" spans="1:11" ht="13.5" customHeight="1">
      <c r="A49" s="33"/>
      <c r="C49" s="106" t="s">
        <v>70</v>
      </c>
      <c r="D49" s="106"/>
      <c r="E49" s="106"/>
      <c r="F49" s="106"/>
      <c r="G49" s="106"/>
      <c r="H49" s="106"/>
      <c r="I49" s="106"/>
      <c r="J49" s="28"/>
      <c r="K49" s="28"/>
    </row>
    <row r="50" spans="1:11" ht="16.5" customHeight="1">
      <c r="A50" s="33"/>
      <c r="C50" s="106"/>
      <c r="D50" s="106"/>
      <c r="E50" s="106"/>
      <c r="F50" s="106"/>
      <c r="G50" s="106"/>
      <c r="H50" s="106"/>
      <c r="I50" s="106"/>
      <c r="J50" s="28"/>
      <c r="K50" s="28"/>
    </row>
    <row r="51" spans="1:11" ht="18" customHeight="1">
      <c r="A51" s="33"/>
      <c r="C51" s="106" t="s">
        <v>78</v>
      </c>
      <c r="D51" s="106"/>
      <c r="E51" s="106"/>
      <c r="F51" s="106"/>
      <c r="G51" s="106"/>
      <c r="H51" s="106"/>
      <c r="I51" s="106"/>
      <c r="J51" s="28"/>
      <c r="K51" s="28"/>
    </row>
  </sheetData>
  <mergeCells count="9">
    <mergeCell ref="C51:I51"/>
    <mergeCell ref="C49:I50"/>
    <mergeCell ref="C3:G3"/>
    <mergeCell ref="C5:D5"/>
    <mergeCell ref="D25:E25"/>
    <mergeCell ref="H25:I25"/>
    <mergeCell ref="D9:E9"/>
    <mergeCell ref="F25:G25"/>
    <mergeCell ref="H26:I28"/>
  </mergeCells>
  <phoneticPr fontId="0" type="noConversion"/>
  <dataValidations count="11">
    <dataValidation allowBlank="1" showInputMessage="1" showErrorMessage="1" prompt="Enter zero for a new machine." sqref="F15 D14:D15"/>
    <dataValidation allowBlank="1" showInputMessage="1" showErrorMessage="1" prompt="Current list price of a similar new machine.  Used to estimate the value at the end of the ownership period (salvage value) and annual repair costs." sqref="D12"/>
    <dataValidation allowBlank="1" showInputMessage="1" showErrorMessage="1" prompt="Estimated list price of a new similar implement or attachment.  Used to estimate the salvage value and annual repair costs." sqref="F12"/>
    <dataValidation allowBlank="1" showInputMessage="1" showErrorMessage="1" prompt="Purchase price for a machine to be acquired or acquired recently, including cash paid and the value of any trade-in item, estimated current market value for a machine that is already owned." sqref="F13"/>
    <dataValidation allowBlank="1" showInputMessage="1" showErrorMessage="1" prompt="The number of remaining years you expect to own this machine." sqref="D16 F16"/>
    <dataValidation allowBlank="1" showInputMessage="1" showErrorMessage="1" prompt="Approximate number of hours the power unit is used each year.  Use engine hours for combines." sqref="D18"/>
    <dataValidation allowBlank="1" showInputMessage="1" showErrorMessage="1" prompt="Enter the number of acres, tons or other units accomplished per hour.  Units should be the same as entered for annual use._x000a_Field capacity can be estimated by: width (inches) x speed (mph) x field efficiency (%) / 825." sqref="F19"/>
    <dataValidation allowBlank="1" showInputMessage="1" showErrorMessage="1" prompt="Purchase price for a machine to be acquired or acquired recently, including cash paid and the value of any trade-in item, or estimated current market value for a machine that is already owned." sqref="D13"/>
    <dataValidation allowBlank="1" showInputMessage="1" showErrorMessage="1" prompt="Enter expected annual costs for repairs and maintainance, including the owner's time.  Leave the cell blank if you wish to use the estimated costs based on engineering coefficients." sqref="D23 F23"/>
    <dataValidation allowBlank="1" showInputMessage="1" showErrorMessage="1" prompt="Use the current interest rate for financing the machine, or the interest rate you could earn by investing the funds elsewhere, or an average of the two." sqref="F17 D17"/>
    <dataValidation allowBlank="1" showInputMessage="1" showErrorMessage="1" prompt="Enter the number of acres covered each year with the implement or attachment, or the number of tons or other units produced or processed." sqref="F18"/>
  </dataValidations>
  <hyperlinks>
    <hyperlink ref="C44" r:id="rId1"/>
    <hyperlink ref="C3" r:id="rId2" display="Estimating Farm Machinery Costs"/>
  </hyperlinks>
  <pageMargins left="0.75" right="0.75" top="0.75" bottom="0.75" header="0.5" footer="0.5"/>
  <pageSetup scale="67" orientation="portrait" r:id="rId3"/>
  <headerFooter alignWithMargins="0"/>
  <drawing r:id="rId4"/>
  <legacyDrawing r:id="rId5"/>
</worksheet>
</file>

<file path=xl/worksheets/sheet3.xml><?xml version="1.0" encoding="utf-8"?>
<worksheet xmlns="http://schemas.openxmlformats.org/spreadsheetml/2006/main" xmlns:r="http://schemas.openxmlformats.org/officeDocument/2006/relationships">
  <sheetPr codeName="Sheet4"/>
  <dimension ref="A1:H9"/>
  <sheetViews>
    <sheetView workbookViewId="0">
      <selection activeCell="H6" sqref="H6"/>
    </sheetView>
  </sheetViews>
  <sheetFormatPr defaultRowHeight="12.75"/>
  <cols>
    <col min="1" max="256" width="21.28515625" customWidth="1"/>
  </cols>
  <sheetData>
    <row r="1" spans="1:8">
      <c r="A1" t="s">
        <v>112</v>
      </c>
    </row>
    <row r="3" spans="1:8">
      <c r="A3" s="8" t="s">
        <v>113</v>
      </c>
      <c r="D3" s="6">
        <f>Table1[[#Totals],[Repair]]</f>
        <v>4.2482296282220293</v>
      </c>
      <c r="E3" s="6">
        <f>Table1[[#Totals],[Fuel &amp; Lube]]</f>
        <v>14.167999999999996</v>
      </c>
      <c r="F3" s="6">
        <f>Table1[[#Totals],[Labor]]</f>
        <v>3.85</v>
      </c>
      <c r="G3" s="6">
        <f>Table1[[#Totals],[Capital Recovery]]</f>
        <v>5.9403305337555832</v>
      </c>
      <c r="H3" s="6">
        <f>Table1[[#Totals],[THI]]</f>
        <v>0.63603614859237056</v>
      </c>
    </row>
    <row r="5" spans="1:8" ht="13.5" thickBot="1">
      <c r="B5" s="103" t="s">
        <v>37</v>
      </c>
      <c r="C5" s="103" t="s">
        <v>106</v>
      </c>
      <c r="D5" s="103" t="s">
        <v>107</v>
      </c>
      <c r="E5" s="103" t="s">
        <v>108</v>
      </c>
      <c r="F5" s="103" t="s">
        <v>109</v>
      </c>
      <c r="G5" s="103" t="s">
        <v>110</v>
      </c>
      <c r="H5" s="104" t="s">
        <v>111</v>
      </c>
    </row>
    <row r="6" spans="1:8" ht="13.5" thickTop="1">
      <c r="B6" s="105"/>
      <c r="C6" s="105"/>
      <c r="D6" s="105">
        <v>1.002161715932282</v>
      </c>
      <c r="E6" s="105">
        <v>6.0719999999999983</v>
      </c>
      <c r="F6" s="105">
        <v>1.65</v>
      </c>
      <c r="G6" s="105">
        <v>2.1774664298332054</v>
      </c>
      <c r="H6" s="105">
        <v>0.20833333333333334</v>
      </c>
    </row>
    <row r="7" spans="1:8">
      <c r="B7" s="105" t="s">
        <v>100</v>
      </c>
      <c r="C7" s="105" t="s">
        <v>12</v>
      </c>
      <c r="D7" s="105">
        <v>1.4520627492373364</v>
      </c>
      <c r="E7" s="105">
        <v>4.0479999999999992</v>
      </c>
      <c r="F7" s="105">
        <v>1.1000000000000001</v>
      </c>
      <c r="G7" s="105">
        <v>1.9233061159810148</v>
      </c>
      <c r="H7" s="105">
        <v>0.2138514076295186</v>
      </c>
    </row>
    <row r="8" spans="1:8">
      <c r="B8" s="105" t="s">
        <v>98</v>
      </c>
      <c r="C8" s="105" t="s">
        <v>9</v>
      </c>
      <c r="D8" s="105">
        <v>1.7940051630524112</v>
      </c>
      <c r="E8" s="105">
        <v>4.0479999999999992</v>
      </c>
      <c r="F8" s="105">
        <v>1.1000000000000001</v>
      </c>
      <c r="G8" s="105">
        <v>1.8395579879413635</v>
      </c>
      <c r="H8" s="105">
        <v>0.2138514076295186</v>
      </c>
    </row>
    <row r="9" spans="1:8">
      <c r="B9" t="s">
        <v>114</v>
      </c>
      <c r="D9">
        <f>SUBTOTAL(109,[Repair])</f>
        <v>4.2482296282220293</v>
      </c>
      <c r="E9">
        <f>SUBTOTAL(109,[Fuel &amp; Lube])</f>
        <v>14.167999999999996</v>
      </c>
      <c r="F9">
        <f>SUBTOTAL(109,[Labor])</f>
        <v>3.85</v>
      </c>
      <c r="G9">
        <f>SUBTOTAL(109,[Capital Recovery])</f>
        <v>5.9403305337555832</v>
      </c>
      <c r="H9">
        <f>SUBTOTAL(109,[THI])</f>
        <v>0.63603614859237056</v>
      </c>
    </row>
  </sheetData>
  <pageMargins left="0.7" right="0.7" top="0.75" bottom="0.75" header="0.3" footer="0.3"/>
  <pageSetup orientation="portrait" horizontalDpi="300" verticalDpi="300" r:id="rId1"/>
  <tableParts count="1">
    <tablePart r:id="rId2"/>
  </tableParts>
</worksheet>
</file>

<file path=xl/worksheets/sheet4.xml><?xml version="1.0" encoding="utf-8"?>
<worksheet xmlns="http://schemas.openxmlformats.org/spreadsheetml/2006/main" xmlns:r="http://schemas.openxmlformats.org/officeDocument/2006/relationships">
  <sheetPr codeName="Sheet3">
    <pageSetUpPr fitToPage="1"/>
  </sheetPr>
  <dimension ref="A1:M46"/>
  <sheetViews>
    <sheetView showGridLines="0" workbookViewId="0">
      <selection activeCell="G19" sqref="G19"/>
    </sheetView>
  </sheetViews>
  <sheetFormatPr defaultRowHeight="12.75"/>
  <cols>
    <col min="1" max="1" width="1.7109375" style="76" customWidth="1"/>
    <col min="2" max="2" width="1.7109375" customWidth="1"/>
    <col min="4" max="4" width="25.7109375" customWidth="1"/>
  </cols>
  <sheetData>
    <row r="1" spans="1:13" s="30" customFormat="1" ht="18.75" thickBot="1">
      <c r="C1" s="30" t="s">
        <v>0</v>
      </c>
    </row>
    <row r="2" spans="1:13" s="8" customFormat="1" ht="13.5" thickTop="1">
      <c r="A2" s="31"/>
      <c r="B2" s="32"/>
      <c r="E2" s="19"/>
      <c r="F2" s="19"/>
      <c r="G2" s="89" t="s">
        <v>88</v>
      </c>
      <c r="H2" s="19"/>
      <c r="I2" s="19"/>
      <c r="J2" s="18"/>
      <c r="K2" s="18"/>
    </row>
    <row r="3" spans="1:13">
      <c r="A3" s="31"/>
      <c r="B3" s="32"/>
      <c r="E3" s="119" t="s">
        <v>17</v>
      </c>
      <c r="F3" s="119"/>
      <c r="G3" s="80" t="s">
        <v>87</v>
      </c>
      <c r="H3" s="119" t="s">
        <v>18</v>
      </c>
      <c r="I3" s="119"/>
      <c r="J3" s="119"/>
    </row>
    <row r="4" spans="1:13">
      <c r="A4" s="31"/>
      <c r="B4" s="32"/>
      <c r="C4" s="1" t="s">
        <v>1</v>
      </c>
      <c r="D4" s="1" t="s">
        <v>2</v>
      </c>
      <c r="E4" s="90" t="s">
        <v>3</v>
      </c>
      <c r="F4" s="90" t="s">
        <v>4</v>
      </c>
      <c r="G4" s="90" t="s">
        <v>5</v>
      </c>
      <c r="H4" s="90" t="s">
        <v>6</v>
      </c>
      <c r="I4" s="90" t="s">
        <v>7</v>
      </c>
      <c r="J4" s="90" t="s">
        <v>8</v>
      </c>
      <c r="L4" s="1"/>
      <c r="M4" s="1"/>
    </row>
    <row r="5" spans="1:13">
      <c r="A5" s="31"/>
      <c r="B5" s="32"/>
      <c r="C5" s="5">
        <v>1</v>
      </c>
      <c r="D5" s="1" t="s">
        <v>99</v>
      </c>
      <c r="E5" s="3">
        <v>7.0000000000000001E-3</v>
      </c>
      <c r="F5" s="4">
        <v>2</v>
      </c>
      <c r="G5" s="2">
        <v>12000</v>
      </c>
      <c r="H5" s="5">
        <v>0.98099999999999998</v>
      </c>
      <c r="I5" s="5">
        <v>9.2999999999999999E-2</v>
      </c>
      <c r="J5" s="5">
        <v>5.7999999999999996E-3</v>
      </c>
      <c r="L5" s="1"/>
      <c r="M5" s="1"/>
    </row>
    <row r="6" spans="1:13">
      <c r="A6" s="33"/>
      <c r="B6" s="34"/>
      <c r="C6" s="5">
        <v>2</v>
      </c>
      <c r="D6" s="1" t="s">
        <v>100</v>
      </c>
      <c r="E6" s="3">
        <v>7.0000000000000001E-3</v>
      </c>
      <c r="F6" s="4">
        <v>2</v>
      </c>
      <c r="G6" s="2">
        <v>12000</v>
      </c>
      <c r="H6" s="2">
        <v>0.94210000000000005</v>
      </c>
      <c r="I6" s="2">
        <v>9.9699999999999997E-2</v>
      </c>
      <c r="J6" s="2">
        <v>8.0000000000000004E-4</v>
      </c>
      <c r="L6" s="2"/>
      <c r="M6" s="2"/>
    </row>
    <row r="7" spans="1:13">
      <c r="A7" s="33"/>
      <c r="B7" s="34"/>
      <c r="C7" s="5">
        <v>3</v>
      </c>
      <c r="D7" s="1" t="s">
        <v>101</v>
      </c>
      <c r="E7" s="3">
        <v>7.0000000000000001E-3</v>
      </c>
      <c r="F7" s="4">
        <v>2</v>
      </c>
      <c r="G7" s="2">
        <v>16000</v>
      </c>
      <c r="H7" s="2">
        <v>0.97560000000000002</v>
      </c>
      <c r="I7" s="2">
        <v>0.1187</v>
      </c>
      <c r="J7" s="2">
        <v>1.9E-3</v>
      </c>
      <c r="L7" s="2"/>
      <c r="M7" s="2"/>
    </row>
    <row r="8" spans="1:13">
      <c r="A8" s="33"/>
      <c r="B8" s="34"/>
      <c r="C8" s="5">
        <v>4</v>
      </c>
      <c r="D8" s="1" t="s">
        <v>98</v>
      </c>
      <c r="E8" s="3">
        <v>3.0000000000000001E-3</v>
      </c>
      <c r="F8" s="4">
        <v>2</v>
      </c>
      <c r="G8" s="2">
        <v>16000</v>
      </c>
      <c r="H8" s="2">
        <v>0.97560000000000002</v>
      </c>
      <c r="I8" s="2">
        <v>0.1187</v>
      </c>
      <c r="J8" s="2">
        <v>1.9E-3</v>
      </c>
      <c r="L8" s="2"/>
      <c r="M8" s="2"/>
    </row>
    <row r="9" spans="1:13">
      <c r="A9" s="33"/>
      <c r="B9" s="34"/>
      <c r="C9" s="5">
        <v>5</v>
      </c>
      <c r="D9" s="1" t="s">
        <v>24</v>
      </c>
      <c r="E9" s="3">
        <v>0.01</v>
      </c>
      <c r="F9" s="4">
        <v>2.1</v>
      </c>
      <c r="G9" s="2">
        <v>3000</v>
      </c>
      <c r="H9" s="2">
        <v>1.1317999999999999</v>
      </c>
      <c r="I9" s="2">
        <v>0.16450000000000001</v>
      </c>
      <c r="J9" s="2">
        <v>7.9000000000000008E-3</v>
      </c>
      <c r="L9" s="2"/>
      <c r="M9" s="2"/>
    </row>
    <row r="10" spans="1:13">
      <c r="A10" s="33"/>
      <c r="B10" s="34"/>
      <c r="C10" s="5">
        <v>6</v>
      </c>
      <c r="D10" s="1" t="s">
        <v>33</v>
      </c>
      <c r="E10" s="3">
        <v>0.03</v>
      </c>
      <c r="F10" s="4">
        <v>2</v>
      </c>
      <c r="G10" s="2">
        <v>4000</v>
      </c>
      <c r="H10" s="2">
        <v>0.79110000000000003</v>
      </c>
      <c r="I10" s="2">
        <v>9.1300000000000006E-2</v>
      </c>
      <c r="J10" s="2">
        <v>0</v>
      </c>
      <c r="L10" s="2"/>
      <c r="M10" s="2"/>
    </row>
    <row r="11" spans="1:13">
      <c r="A11" s="33"/>
      <c r="B11" s="34"/>
      <c r="C11" s="5">
        <v>7</v>
      </c>
      <c r="D11" s="1" t="s">
        <v>34</v>
      </c>
      <c r="E11" s="3">
        <v>0.06</v>
      </c>
      <c r="F11" s="4">
        <v>2</v>
      </c>
      <c r="G11" s="2">
        <v>3000</v>
      </c>
      <c r="H11" s="2">
        <v>0.75570000000000004</v>
      </c>
      <c r="I11" s="2">
        <v>6.7199999999999996E-2</v>
      </c>
      <c r="J11" s="2">
        <v>0</v>
      </c>
      <c r="L11" s="2"/>
      <c r="M11" s="2"/>
    </row>
    <row r="12" spans="1:13">
      <c r="A12" s="33"/>
      <c r="B12" s="34"/>
      <c r="C12" s="5">
        <v>8</v>
      </c>
      <c r="D12" s="1" t="s">
        <v>32</v>
      </c>
      <c r="E12" s="3">
        <v>0.1</v>
      </c>
      <c r="F12" s="4">
        <v>1.3</v>
      </c>
      <c r="G12" s="2">
        <v>1500</v>
      </c>
      <c r="H12" s="2">
        <v>0.88260000000000005</v>
      </c>
      <c r="I12" s="2">
        <v>7.7799999999999994E-2</v>
      </c>
      <c r="J12" s="2">
        <v>0</v>
      </c>
      <c r="L12" s="2"/>
      <c r="M12" s="2"/>
    </row>
    <row r="13" spans="1:13">
      <c r="A13" s="33"/>
      <c r="B13" s="34"/>
      <c r="C13" s="5">
        <v>9</v>
      </c>
      <c r="D13" s="1" t="s">
        <v>31</v>
      </c>
      <c r="E13" s="3">
        <v>7.0000000000000001E-3</v>
      </c>
      <c r="F13" s="4">
        <v>2</v>
      </c>
      <c r="G13" s="2">
        <v>3000</v>
      </c>
      <c r="H13" s="2">
        <v>0.78600000000000003</v>
      </c>
      <c r="I13" s="2">
        <v>6.3E-2</v>
      </c>
      <c r="J13" s="2">
        <v>3.3E-3</v>
      </c>
      <c r="L13" s="2"/>
      <c r="M13" s="2"/>
    </row>
    <row r="14" spans="1:13">
      <c r="A14" s="33"/>
      <c r="B14" s="34"/>
      <c r="C14" s="5">
        <v>10</v>
      </c>
      <c r="D14" s="1" t="s">
        <v>89</v>
      </c>
      <c r="E14" s="3">
        <v>0.11</v>
      </c>
      <c r="F14" s="4">
        <v>1.8</v>
      </c>
      <c r="G14" s="2">
        <v>3000</v>
      </c>
      <c r="H14" s="2">
        <v>1.1317999999999999</v>
      </c>
      <c r="I14" s="2">
        <v>0.16450000000000001</v>
      </c>
      <c r="J14" s="2">
        <v>7.9000000000000008E-3</v>
      </c>
      <c r="L14" s="2"/>
      <c r="M14" s="2"/>
    </row>
    <row r="15" spans="1:13">
      <c r="A15" s="33"/>
      <c r="B15" s="34"/>
      <c r="C15" s="5"/>
      <c r="D15" s="1"/>
      <c r="E15" s="3"/>
      <c r="F15" s="4"/>
      <c r="G15" s="2"/>
      <c r="H15" s="2"/>
      <c r="I15" s="2"/>
      <c r="J15" s="2"/>
      <c r="L15" s="2"/>
      <c r="M15" s="2"/>
    </row>
    <row r="16" spans="1:13">
      <c r="A16" s="33"/>
      <c r="B16" s="34"/>
      <c r="C16" s="5">
        <v>1</v>
      </c>
      <c r="D16" s="1" t="s">
        <v>9</v>
      </c>
      <c r="E16" s="3">
        <v>0.28999999999999998</v>
      </c>
      <c r="F16" s="4">
        <v>1.8</v>
      </c>
      <c r="G16" s="2">
        <v>2000</v>
      </c>
      <c r="H16" s="2">
        <v>0.73819999999999997</v>
      </c>
      <c r="I16" s="2">
        <v>5.0999999999999997E-2</v>
      </c>
      <c r="J16" s="2">
        <v>0</v>
      </c>
      <c r="L16" s="2"/>
      <c r="M16" s="2"/>
    </row>
    <row r="17" spans="1:13">
      <c r="A17" s="33"/>
      <c r="B17" s="34"/>
      <c r="C17" s="5">
        <v>2</v>
      </c>
      <c r="D17" s="1" t="s">
        <v>10</v>
      </c>
      <c r="E17" s="3">
        <v>0.18</v>
      </c>
      <c r="F17" s="4">
        <v>1.7</v>
      </c>
      <c r="G17" s="2">
        <v>2000</v>
      </c>
      <c r="H17" s="2">
        <v>0.89059999999999995</v>
      </c>
      <c r="I17" s="2">
        <v>0.1095</v>
      </c>
      <c r="J17" s="2">
        <v>0</v>
      </c>
      <c r="L17" s="2"/>
      <c r="M17" s="2"/>
    </row>
    <row r="18" spans="1:13">
      <c r="A18" s="33"/>
      <c r="B18" s="34"/>
      <c r="C18" s="5">
        <v>3</v>
      </c>
      <c r="D18" s="1" t="s">
        <v>64</v>
      </c>
      <c r="E18" s="3">
        <v>0.28000000000000003</v>
      </c>
      <c r="F18" s="4">
        <v>1.4</v>
      </c>
      <c r="G18" s="2">
        <v>5000</v>
      </c>
      <c r="H18" s="2">
        <v>0.73819999999999997</v>
      </c>
      <c r="I18" s="2">
        <v>5.0999999999999997E-2</v>
      </c>
      <c r="J18" s="2">
        <v>0</v>
      </c>
      <c r="L18" s="2"/>
      <c r="M18" s="2"/>
    </row>
    <row r="19" spans="1:13">
      <c r="A19" s="33"/>
      <c r="B19" s="34"/>
      <c r="C19" s="5">
        <v>4</v>
      </c>
      <c r="D19" s="1" t="s">
        <v>19</v>
      </c>
      <c r="E19" s="3">
        <v>0.27</v>
      </c>
      <c r="F19" s="4">
        <v>1.4</v>
      </c>
      <c r="G19" s="2">
        <v>2000</v>
      </c>
      <c r="H19" s="2">
        <v>0.89059999999999995</v>
      </c>
      <c r="I19" s="2">
        <v>0.1095</v>
      </c>
      <c r="J19" s="2">
        <v>0</v>
      </c>
      <c r="L19" s="2"/>
      <c r="M19" s="2"/>
    </row>
    <row r="20" spans="1:13">
      <c r="A20" s="33"/>
      <c r="B20" s="34"/>
      <c r="C20" s="5">
        <v>5</v>
      </c>
      <c r="D20" s="1" t="s">
        <v>20</v>
      </c>
      <c r="E20" s="3">
        <v>0.27</v>
      </c>
      <c r="F20" s="4">
        <v>1.4</v>
      </c>
      <c r="G20" s="2">
        <v>2000</v>
      </c>
      <c r="H20" s="2">
        <v>0.89059999999999995</v>
      </c>
      <c r="I20" s="2">
        <v>0.1095</v>
      </c>
      <c r="J20" s="2">
        <v>0</v>
      </c>
      <c r="L20" s="2"/>
      <c r="M20" s="2"/>
    </row>
    <row r="21" spans="1:13">
      <c r="A21" s="33"/>
      <c r="B21" s="34"/>
      <c r="C21" s="5">
        <v>6</v>
      </c>
      <c r="D21" s="1" t="s">
        <v>11</v>
      </c>
      <c r="E21" s="3">
        <v>0.17</v>
      </c>
      <c r="F21" s="4">
        <v>2.2000000000000002</v>
      </c>
      <c r="G21" s="2">
        <v>2000</v>
      </c>
      <c r="H21" s="2">
        <v>0.89059999999999995</v>
      </c>
      <c r="I21" s="2">
        <v>0.1095</v>
      </c>
      <c r="J21" s="2">
        <v>0</v>
      </c>
      <c r="L21" s="2"/>
      <c r="M21" s="2"/>
    </row>
    <row r="22" spans="1:13">
      <c r="A22" s="33"/>
      <c r="B22" s="34"/>
      <c r="C22" s="5">
        <v>7</v>
      </c>
      <c r="D22" s="1" t="s">
        <v>12</v>
      </c>
      <c r="E22" s="3">
        <v>0.16</v>
      </c>
      <c r="F22" s="4">
        <v>1.3</v>
      </c>
      <c r="G22" s="2">
        <v>2000</v>
      </c>
      <c r="H22" s="2">
        <v>0.89059999999999995</v>
      </c>
      <c r="I22" s="2">
        <v>0.1095</v>
      </c>
      <c r="J22" s="2">
        <v>0</v>
      </c>
      <c r="L22" s="2"/>
      <c r="M22" s="2"/>
    </row>
    <row r="23" spans="1:13">
      <c r="A23" s="33"/>
      <c r="B23" s="34"/>
      <c r="C23" s="5">
        <v>8</v>
      </c>
      <c r="D23" s="1" t="s">
        <v>21</v>
      </c>
      <c r="E23" s="3">
        <v>0.23</v>
      </c>
      <c r="F23" s="4">
        <v>1.4</v>
      </c>
      <c r="G23" s="2">
        <v>2000</v>
      </c>
      <c r="H23" s="2">
        <v>0.89059999999999995</v>
      </c>
      <c r="I23" s="2">
        <v>0.1095</v>
      </c>
      <c r="J23" s="2">
        <v>0</v>
      </c>
      <c r="L23" s="2"/>
      <c r="M23" s="2"/>
    </row>
    <row r="24" spans="1:13">
      <c r="A24" s="35"/>
      <c r="B24" s="36"/>
      <c r="C24" s="5">
        <v>9</v>
      </c>
      <c r="D24" s="1" t="s">
        <v>13</v>
      </c>
      <c r="E24" s="3">
        <v>0.36</v>
      </c>
      <c r="F24" s="4">
        <v>2</v>
      </c>
      <c r="G24" s="2">
        <v>1500</v>
      </c>
      <c r="H24" s="2">
        <v>0.89059999999999995</v>
      </c>
      <c r="I24" s="2">
        <v>0.1095</v>
      </c>
      <c r="J24" s="2">
        <v>0</v>
      </c>
      <c r="L24" s="2"/>
      <c r="M24" s="2"/>
    </row>
    <row r="25" spans="1:13">
      <c r="A25" s="35"/>
      <c r="B25" s="36"/>
      <c r="C25" s="5">
        <v>10</v>
      </c>
      <c r="D25" s="1" t="s">
        <v>22</v>
      </c>
      <c r="E25" s="3">
        <v>0.32</v>
      </c>
      <c r="F25" s="4">
        <v>2.1</v>
      </c>
      <c r="G25" s="2">
        <v>1500</v>
      </c>
      <c r="H25" s="2">
        <v>0.88260000000000005</v>
      </c>
      <c r="I25" s="2">
        <v>7.7799999999999994E-2</v>
      </c>
      <c r="J25" s="2">
        <v>0</v>
      </c>
      <c r="L25" s="2"/>
      <c r="M25" s="2"/>
    </row>
    <row r="26" spans="1:13">
      <c r="A26" s="31"/>
      <c r="B26" s="32"/>
      <c r="C26" s="5">
        <v>11</v>
      </c>
      <c r="D26" s="1" t="s">
        <v>14</v>
      </c>
      <c r="E26" s="3">
        <v>0.05</v>
      </c>
      <c r="F26" s="4">
        <v>2.2999999999999998</v>
      </c>
      <c r="G26" s="2">
        <v>2000</v>
      </c>
      <c r="H26" s="2">
        <v>1.1317999999999999</v>
      </c>
      <c r="I26" s="2">
        <v>0.16450000000000001</v>
      </c>
      <c r="J26" s="2">
        <v>0</v>
      </c>
      <c r="L26" s="2"/>
      <c r="M26" s="2"/>
    </row>
    <row r="27" spans="1:13">
      <c r="A27" s="33"/>
      <c r="B27" s="34"/>
      <c r="C27" s="5">
        <v>12</v>
      </c>
      <c r="D27" s="1" t="s">
        <v>23</v>
      </c>
      <c r="E27" s="3">
        <v>0.05</v>
      </c>
      <c r="F27" s="4">
        <v>2.2999999999999998</v>
      </c>
      <c r="G27" s="2">
        <v>2000</v>
      </c>
      <c r="H27" s="2">
        <v>1.1317999999999999</v>
      </c>
      <c r="I27" s="2">
        <v>0.16450000000000001</v>
      </c>
      <c r="J27" s="2">
        <v>7.9000000000000008E-3</v>
      </c>
      <c r="L27" s="2"/>
      <c r="M27" s="2"/>
    </row>
    <row r="28" spans="1:13">
      <c r="A28" s="33"/>
      <c r="B28" s="34"/>
      <c r="C28" s="5">
        <v>13</v>
      </c>
      <c r="D28" s="1" t="s">
        <v>90</v>
      </c>
      <c r="E28" s="3">
        <v>0.46</v>
      </c>
      <c r="F28" s="4">
        <v>1.7</v>
      </c>
      <c r="G28" s="2">
        <v>2000</v>
      </c>
      <c r="H28" s="2">
        <v>0.75570000000000004</v>
      </c>
      <c r="I28" s="2">
        <v>6.7199999999999996E-2</v>
      </c>
      <c r="J28" s="2">
        <v>0</v>
      </c>
      <c r="L28" s="2"/>
      <c r="M28" s="2"/>
    </row>
    <row r="29" spans="1:13">
      <c r="A29" s="33"/>
      <c r="B29" s="34"/>
      <c r="C29" s="5">
        <v>14</v>
      </c>
      <c r="D29" s="1" t="s">
        <v>91</v>
      </c>
      <c r="E29" s="3">
        <v>0.44</v>
      </c>
      <c r="F29" s="4">
        <v>2</v>
      </c>
      <c r="G29" s="2"/>
      <c r="H29" s="2">
        <v>0.75570000000000004</v>
      </c>
      <c r="I29" s="2">
        <v>6.7199999999999996E-2</v>
      </c>
      <c r="J29" s="2">
        <v>0</v>
      </c>
      <c r="L29" s="2"/>
      <c r="M29" s="2"/>
    </row>
    <row r="30" spans="1:13">
      <c r="A30" s="33"/>
      <c r="B30" s="34"/>
      <c r="C30" s="5">
        <v>15</v>
      </c>
      <c r="D30" s="1" t="s">
        <v>25</v>
      </c>
      <c r="E30" s="3">
        <v>0.18</v>
      </c>
      <c r="F30" s="4">
        <v>1.6</v>
      </c>
      <c r="G30" s="2">
        <v>2500</v>
      </c>
      <c r="H30" s="2">
        <v>0.75570000000000004</v>
      </c>
      <c r="I30" s="2">
        <v>6.7199999999999996E-2</v>
      </c>
      <c r="J30" s="2">
        <v>0</v>
      </c>
      <c r="L30" s="2"/>
      <c r="M30" s="2"/>
    </row>
    <row r="31" spans="1:13">
      <c r="A31" s="33"/>
      <c r="B31" s="34"/>
      <c r="C31" s="5">
        <v>16</v>
      </c>
      <c r="D31" s="1" t="s">
        <v>27</v>
      </c>
      <c r="E31" s="3">
        <v>0.18</v>
      </c>
      <c r="F31" s="4">
        <v>1.6</v>
      </c>
      <c r="G31" s="2">
        <v>2500</v>
      </c>
      <c r="H31" s="2">
        <v>0.75570000000000004</v>
      </c>
      <c r="I31" s="2">
        <v>6.7199999999999996E-2</v>
      </c>
      <c r="J31" s="2">
        <v>0</v>
      </c>
      <c r="L31" s="2"/>
      <c r="M31" s="2"/>
    </row>
    <row r="32" spans="1:13">
      <c r="A32" s="33"/>
      <c r="B32" s="34"/>
      <c r="C32" s="5">
        <v>17</v>
      </c>
      <c r="D32" s="1" t="s">
        <v>92</v>
      </c>
      <c r="E32" s="3">
        <v>0.23</v>
      </c>
      <c r="F32" s="4">
        <v>1.8</v>
      </c>
      <c r="G32" s="2">
        <v>2000</v>
      </c>
      <c r="H32" s="2">
        <v>0.85209999999999997</v>
      </c>
      <c r="I32" s="2">
        <v>0.1014</v>
      </c>
      <c r="J32" s="2">
        <v>0</v>
      </c>
      <c r="L32" s="2"/>
      <c r="M32" s="2"/>
    </row>
    <row r="33" spans="1:13">
      <c r="A33" s="33"/>
      <c r="B33" s="34"/>
      <c r="C33" s="5">
        <v>18</v>
      </c>
      <c r="D33" s="1" t="s">
        <v>93</v>
      </c>
      <c r="E33" s="3">
        <v>0.1</v>
      </c>
      <c r="F33" s="4">
        <v>1.8</v>
      </c>
      <c r="G33" s="2"/>
      <c r="H33" s="2">
        <v>0.85209999999999997</v>
      </c>
      <c r="I33" s="2">
        <v>0.1014</v>
      </c>
      <c r="J33" s="2">
        <v>0</v>
      </c>
      <c r="L33" s="2"/>
      <c r="M33" s="2"/>
    </row>
    <row r="34" spans="1:13">
      <c r="A34" s="33"/>
      <c r="B34" s="34"/>
      <c r="C34" s="5">
        <v>19</v>
      </c>
      <c r="D34" s="1" t="s">
        <v>26</v>
      </c>
      <c r="E34" s="3">
        <v>0.43</v>
      </c>
      <c r="F34" s="4">
        <v>1.8</v>
      </c>
      <c r="G34" s="2">
        <v>1500</v>
      </c>
      <c r="H34" s="2">
        <v>0.85209999999999997</v>
      </c>
      <c r="I34" s="2">
        <v>0.1014</v>
      </c>
      <c r="J34" s="2">
        <v>0</v>
      </c>
      <c r="L34" s="2"/>
      <c r="M34" s="2"/>
    </row>
    <row r="35" spans="1:13">
      <c r="A35" s="33"/>
      <c r="B35" s="34"/>
      <c r="C35" s="5">
        <v>20</v>
      </c>
      <c r="D35" s="1" t="s">
        <v>15</v>
      </c>
      <c r="E35" s="3">
        <v>0.17</v>
      </c>
      <c r="F35" s="4">
        <v>1.4</v>
      </c>
      <c r="G35" s="2">
        <v>2500</v>
      </c>
      <c r="H35" s="2">
        <v>0.79110000000000003</v>
      </c>
      <c r="I35" s="2">
        <v>9.1300000000000006E-2</v>
      </c>
      <c r="J35" s="2">
        <v>0</v>
      </c>
      <c r="L35" s="2"/>
      <c r="M35" s="2"/>
    </row>
    <row r="36" spans="1:13">
      <c r="A36" s="33"/>
      <c r="C36" s="5">
        <v>21</v>
      </c>
      <c r="D36" s="1" t="s">
        <v>35</v>
      </c>
      <c r="E36" s="3">
        <v>0.15</v>
      </c>
      <c r="F36" s="4">
        <v>1.6</v>
      </c>
      <c r="G36" s="2">
        <v>2500</v>
      </c>
      <c r="H36" s="2">
        <v>0.79110000000000003</v>
      </c>
      <c r="I36" s="2">
        <v>9.1300000000000006E-2</v>
      </c>
      <c r="J36" s="2">
        <v>0</v>
      </c>
      <c r="L36" s="2"/>
      <c r="M36" s="2"/>
    </row>
    <row r="37" spans="1:13">
      <c r="A37" s="33"/>
      <c r="C37" s="5">
        <v>22</v>
      </c>
      <c r="D37" s="1" t="s">
        <v>94</v>
      </c>
      <c r="E37" s="3">
        <v>0.59</v>
      </c>
      <c r="F37" s="4">
        <v>1.3</v>
      </c>
      <c r="G37" s="2"/>
      <c r="H37" s="2">
        <v>0.79110000000000003</v>
      </c>
      <c r="I37" s="2">
        <v>9.1300000000000006E-2</v>
      </c>
      <c r="J37" s="2">
        <v>0</v>
      </c>
      <c r="L37" s="2"/>
      <c r="M37" s="2"/>
    </row>
    <row r="38" spans="1:13">
      <c r="A38" s="33"/>
      <c r="C38" s="5">
        <v>23</v>
      </c>
      <c r="D38" s="1" t="s">
        <v>95</v>
      </c>
      <c r="E38" s="3">
        <v>0.19</v>
      </c>
      <c r="F38" s="4">
        <v>1.4</v>
      </c>
      <c r="G38" s="2"/>
      <c r="H38" s="2">
        <v>0.79110000000000003</v>
      </c>
      <c r="I38" s="2">
        <v>9.1300000000000006E-2</v>
      </c>
      <c r="J38" s="2">
        <v>0</v>
      </c>
      <c r="L38" s="2"/>
      <c r="M38" s="2"/>
    </row>
    <row r="39" spans="1:13">
      <c r="A39" s="33"/>
      <c r="C39" s="5">
        <v>24</v>
      </c>
      <c r="D39" s="1" t="s">
        <v>16</v>
      </c>
      <c r="E39" s="3">
        <v>0.63</v>
      </c>
      <c r="F39" s="4">
        <v>1.3</v>
      </c>
      <c r="G39" s="2">
        <v>1200</v>
      </c>
      <c r="H39" s="2">
        <v>0.88260000000000005</v>
      </c>
      <c r="I39" s="2">
        <v>7.7799999999999994E-2</v>
      </c>
      <c r="J39" s="2">
        <v>0</v>
      </c>
      <c r="L39" s="2"/>
      <c r="M39" s="2"/>
    </row>
    <row r="40" spans="1:13">
      <c r="A40" s="33"/>
      <c r="C40" s="5">
        <v>25</v>
      </c>
      <c r="D40" s="1" t="s">
        <v>28</v>
      </c>
      <c r="E40" s="3">
        <v>0.41</v>
      </c>
      <c r="F40" s="4">
        <v>1.3</v>
      </c>
      <c r="G40" s="2">
        <v>1500</v>
      </c>
      <c r="H40" s="2">
        <v>0.88260000000000005</v>
      </c>
      <c r="I40" s="2">
        <v>7.7799999999999994E-2</v>
      </c>
      <c r="J40" s="2">
        <v>0</v>
      </c>
      <c r="L40" s="2"/>
      <c r="M40" s="2"/>
    </row>
    <row r="41" spans="1:13">
      <c r="A41" s="33"/>
      <c r="C41" s="5">
        <v>26</v>
      </c>
      <c r="D41" s="1" t="s">
        <v>29</v>
      </c>
      <c r="E41" s="3">
        <v>0.16</v>
      </c>
      <c r="F41" s="4">
        <v>1.6</v>
      </c>
      <c r="G41" s="2">
        <v>2000</v>
      </c>
      <c r="H41" s="2">
        <v>0.94269999999999998</v>
      </c>
      <c r="I41" s="2">
        <v>0.1111</v>
      </c>
      <c r="J41" s="2">
        <v>0</v>
      </c>
      <c r="L41" s="2"/>
      <c r="M41" s="2"/>
    </row>
    <row r="42" spans="1:13">
      <c r="A42" s="33"/>
      <c r="C42" s="5">
        <v>27</v>
      </c>
      <c r="D42" s="1" t="s">
        <v>30</v>
      </c>
      <c r="E42" s="3">
        <v>0.19</v>
      </c>
      <c r="F42" s="4">
        <v>1.3</v>
      </c>
      <c r="G42" s="2">
        <v>3000</v>
      </c>
      <c r="H42" s="2">
        <v>0.94269999999999998</v>
      </c>
      <c r="I42" s="2">
        <v>0.1111</v>
      </c>
      <c r="J42" s="2">
        <v>0</v>
      </c>
      <c r="L42" s="2"/>
      <c r="M42" s="2"/>
    </row>
    <row r="43" spans="1:13">
      <c r="A43" s="33"/>
      <c r="C43" s="5">
        <v>28</v>
      </c>
      <c r="D43" s="1" t="s">
        <v>104</v>
      </c>
      <c r="E43" s="3">
        <v>0.16</v>
      </c>
      <c r="F43" s="4">
        <v>1.6</v>
      </c>
      <c r="G43" s="2">
        <v>3000</v>
      </c>
      <c r="H43" s="2">
        <v>0.94269999999999998</v>
      </c>
      <c r="I43" s="2">
        <v>0.1111</v>
      </c>
      <c r="J43" s="2">
        <v>0</v>
      </c>
    </row>
    <row r="44" spans="1:13">
      <c r="A44" s="33"/>
      <c r="C44" s="5">
        <v>29</v>
      </c>
      <c r="D44" s="1" t="s">
        <v>105</v>
      </c>
      <c r="E44" s="3">
        <v>1.4999999999999999E-2</v>
      </c>
      <c r="F44" s="4">
        <v>1.6</v>
      </c>
      <c r="G44" s="2">
        <v>3000</v>
      </c>
      <c r="H44" s="2">
        <v>0.94269999999999998</v>
      </c>
      <c r="I44" s="2">
        <v>0.1111</v>
      </c>
      <c r="J44" s="2">
        <v>0</v>
      </c>
    </row>
    <row r="45" spans="1:13">
      <c r="A45" s="33"/>
      <c r="C45" s="5"/>
      <c r="D45" s="1" t="s">
        <v>96</v>
      </c>
    </row>
    <row r="46" spans="1:13">
      <c r="D46" s="1" t="s">
        <v>97</v>
      </c>
    </row>
  </sheetData>
  <mergeCells count="2">
    <mergeCell ref="E3:F3"/>
    <mergeCell ref="H3:J3"/>
  </mergeCells>
  <phoneticPr fontId="0" type="noConversion"/>
  <pageMargins left="0.75" right="0.75" top="0.75" bottom="0.75" header="0.5" footer="0.5"/>
  <pageSetup scale="9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Example</vt:lpstr>
      <vt:lpstr>Blank</vt:lpstr>
      <vt:lpstr>MachComp</vt:lpstr>
      <vt:lpstr>Data</vt:lpstr>
      <vt:lpstr>Blank!Print_Area</vt:lpstr>
      <vt:lpstr>Data!Print_Area</vt:lpstr>
      <vt:lpstr>Example!Print_Area</vt:lpstr>
    </vt:vector>
  </TitlesOfParts>
  <Company>ISU</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edwards</dc:creator>
  <cp:lastModifiedBy>Kate Painter</cp:lastModifiedBy>
  <cp:lastPrinted>2009-02-23T17:07:38Z</cp:lastPrinted>
  <dcterms:created xsi:type="dcterms:W3CDTF">2001-03-29T20:35:00Z</dcterms:created>
  <dcterms:modified xsi:type="dcterms:W3CDTF">2009-04-22T15:55:25Z</dcterms:modified>
</cp:coreProperties>
</file>