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03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<sst xmlns="http://schemas.openxmlformats.org/spreadsheetml/2006/main" count="66" uniqueCount="61">
  <si>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Theory &amp; Concepts:</t>
  </si>
  <si>
    <t xml:space="preserve">          </t>
  </si>
  <si>
    <t>If necessary, push the browser's BACK button to exit.</t>
  </si>
  <si>
    <t>Passing Sight Distance</t>
  </si>
  <si>
    <t>Initial speed of passing vehicle (mph)</t>
  </si>
  <si>
    <t>Speed of slow vehicle (mph)</t>
  </si>
  <si>
    <t>Speed of opposing vehicle (mph)</t>
  </si>
  <si>
    <t>Length of passing vehicle (ft)</t>
  </si>
  <si>
    <t>Length of slow vehicle (ft)</t>
  </si>
  <si>
    <t>Clearance distance between passing and slow vehicles at lane change (ft)</t>
  </si>
  <si>
    <t>Clearance distance between passing and opposing vehicles at lane re-entry (ft)</t>
  </si>
  <si>
    <t>Clearance distance between passing and slow vehicles at lane re-entry (ft)</t>
  </si>
  <si>
    <t>Passing speed of passing vehicle (mph)</t>
  </si>
  <si>
    <t>Passing vehicle driver's perception/reaction time (sec)</t>
  </si>
  <si>
    <t>Pass f</t>
  </si>
  <si>
    <t>Pass I</t>
  </si>
  <si>
    <t>slow</t>
  </si>
  <si>
    <t>opposing</t>
  </si>
  <si>
    <t>dist p/r</t>
  </si>
  <si>
    <t>dist acc</t>
  </si>
  <si>
    <t>Passing vehicle's acceleration rate (mph/sec)</t>
  </si>
  <si>
    <t>distance 1</t>
  </si>
  <si>
    <t>distance 2</t>
  </si>
  <si>
    <t>time p/r</t>
  </si>
  <si>
    <t>time acc</t>
  </si>
  <si>
    <t xml:space="preserve">time 1 </t>
  </si>
  <si>
    <t>time 2</t>
  </si>
  <si>
    <t>distance 4</t>
  </si>
  <si>
    <t>time 4</t>
  </si>
  <si>
    <t xml:space="preserve">distance 3 </t>
  </si>
  <si>
    <t>Perception/Reaction distance (ft)</t>
  </si>
  <si>
    <t>Perception/Reaction time (sec)</t>
  </si>
  <si>
    <t>Acceleration Distance (ft)</t>
  </si>
  <si>
    <t>Acceleration time (sec)</t>
  </si>
  <si>
    <t>Total distance (ft)</t>
  </si>
  <si>
    <t>Total time (sec)</t>
  </si>
  <si>
    <t>D2</t>
  </si>
  <si>
    <t>D1</t>
  </si>
  <si>
    <t>D3</t>
  </si>
  <si>
    <t>Total Distance (ft)</t>
  </si>
  <si>
    <t>D4</t>
  </si>
  <si>
    <t>Passing Sight Distance (ft):</t>
  </si>
  <si>
    <t>opp strt d</t>
  </si>
  <si>
    <t>Time</t>
  </si>
  <si>
    <t>loc</t>
  </si>
  <si>
    <t>Opposing</t>
  </si>
  <si>
    <t>P/R--&gt; Passing</t>
  </si>
  <si>
    <t>final</t>
  </si>
  <si>
    <t>slow vehicle</t>
  </si>
  <si>
    <t>acceleration</t>
  </si>
  <si>
    <t xml:space="preserve">To really understand the passing sight distance, you need </t>
  </si>
  <si>
    <t>to get a feeling for how the various variables effect the</t>
  </si>
  <si>
    <t>passing sight distance.  Play with the variables below</t>
  </si>
  <si>
    <t>and watch the graph change.  You may want to compare</t>
  </si>
  <si>
    <t xml:space="preserve">the passing sight distances that you generate to the </t>
  </si>
  <si>
    <t>passing sight distances recommended by AASHTO.</t>
  </si>
  <si>
    <t>The model used in this spreadsheet assumes that all</t>
  </si>
  <si>
    <t>of the acceleration takes place before the passing vehicle</t>
  </si>
  <si>
    <t>moves into the left lane.</t>
  </si>
  <si>
    <t>Simply point at the lines on the graph to view their</t>
  </si>
  <si>
    <t>descriptions.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</si>
</sst>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167" fontId="0" fillId="3" borderId="1" xfId="0" applyNumberFormat="1" applyFont="1" applyFill="1" applyBorder="1" applyAlignment="1" applyProtection="1">
      <alignment horizontal="center"/>
      <protection hidden="1"/>
    </xf>
    <xf numFmtId="167" fontId="0" fillId="3" borderId="2" xfId="0" applyNumberFormat="1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0" fillId="3" borderId="2" xfId="0" applyFont="1" applyFill="1" applyBorder="1" applyAlignment="1" applyProtection="1">
      <alignment horizontal="center"/>
      <protection hidden="1"/>
    </xf>
    <xf numFmtId="167" fontId="0" fillId="3" borderId="4" xfId="0" applyNumberFormat="1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Location versus Time</a:t>
            </a:r>
          </a:p>
        </c:rich>
      </c:tx>
      <c:layout>
        <c:manualLayout>
          <c:xMode val="factor"/>
          <c:yMode val="factor"/>
          <c:x val="0.0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1"/>
          <c:w val="0.93675"/>
          <c:h val="0.83625"/>
        </c:manualLayout>
      </c:layout>
      <c:scatterChart>
        <c:scatterStyle val="smooth"/>
        <c:varyColors val="0"/>
        <c:ser>
          <c:idx val="0"/>
          <c:order val="0"/>
          <c:tx>
            <c:v>Looking for opposing traffic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Demo!$N$9:$N$10</c:f>
              <c:numCache/>
            </c:numRef>
          </c:xVal>
          <c:yVal>
            <c:numRef>
              <c:f>Demo!$M$9:$M$10</c:f>
              <c:numCache/>
            </c:numRef>
          </c:yVal>
          <c:smooth val="1"/>
        </c:ser>
        <c:ser>
          <c:idx val="1"/>
          <c:order val="1"/>
          <c:tx>
            <c:v>Opposing Vehicle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Demo!$N$19:$N$20</c:f>
              <c:numCache/>
            </c:numRef>
          </c:xVal>
          <c:yVal>
            <c:numRef>
              <c:f>Demo!$M$19:$M$20</c:f>
              <c:numCache/>
            </c:numRef>
          </c:yVal>
          <c:smooth val="1"/>
        </c:ser>
        <c:ser>
          <c:idx val="2"/>
          <c:order val="2"/>
          <c:tx>
            <c:v>In left lane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Demo!$N$23:$N$24</c:f>
              <c:numCache/>
            </c:numRef>
          </c:xVal>
          <c:yVal>
            <c:numRef>
              <c:f>Demo!$M$23:$M$24</c:f>
              <c:numCache/>
            </c:numRef>
          </c:yVal>
          <c:smooth val="1"/>
        </c:ser>
        <c:ser>
          <c:idx val="3"/>
          <c:order val="3"/>
          <c:tx>
            <c:v>Back in right lane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Demo!$N$27:$N$28</c:f>
              <c:numCache/>
            </c:numRef>
          </c:xVal>
          <c:yVal>
            <c:numRef>
              <c:f>Demo!$M$27:$M$28</c:f>
              <c:numCache/>
            </c:numRef>
          </c:yVal>
          <c:smooth val="1"/>
        </c:ser>
        <c:ser>
          <c:idx val="4"/>
          <c:order val="4"/>
          <c:tx>
            <c:v>Slow Vehicle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Demo!$N$31:$N$32</c:f>
              <c:numCache/>
            </c:numRef>
          </c:xVal>
          <c:yVal>
            <c:numRef>
              <c:f>Demo!$M$31:$M$32</c:f>
              <c:numCache/>
            </c:numRef>
          </c:yVal>
          <c:smooth val="1"/>
        </c:ser>
        <c:ser>
          <c:idx val="5"/>
          <c:order val="5"/>
          <c:tx>
            <c:v>Acceleration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Demo!$N$35:$N$45</c:f>
              <c:numCache/>
            </c:numRef>
          </c:xVal>
          <c:yVal>
            <c:numRef>
              <c:f>Demo!$M$35:$M$45</c:f>
              <c:numCache/>
            </c:numRef>
          </c:yVal>
          <c:smooth val="1"/>
        </c:ser>
        <c:axId val="12861309"/>
        <c:axId val="48642918"/>
      </c:scatterChart>
      <c:valAx>
        <c:axId val="12861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42918"/>
        <c:crosses val="autoZero"/>
        <c:crossBetween val="midCat"/>
        <c:dispUnits/>
      </c:valAx>
      <c:valAx>
        <c:axId val="48642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Location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6130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5</xdr:row>
      <xdr:rowOff>114300</xdr:rowOff>
    </xdr:from>
    <xdr:to>
      <xdr:col>15</xdr:col>
      <xdr:colOff>114300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143375" y="962025"/>
        <a:ext cx="41529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49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2.421875" style="3" customWidth="1"/>
    <col min="2" max="2" width="0.5625" style="3" customWidth="1"/>
    <col min="3" max="3" width="9.57421875" style="3" bestFit="1" customWidth="1"/>
    <col min="4" max="11" width="9.140625" style="3" customWidth="1"/>
    <col min="12" max="12" width="9.57421875" style="3" bestFit="1" customWidth="1"/>
    <col min="13" max="16384" width="9.140625" style="3" customWidth="1"/>
  </cols>
  <sheetData>
    <row r="1" ht="12.75">
      <c r="C1" s="3" t="s">
        <v>1</v>
      </c>
    </row>
    <row r="2" spans="3:11" ht="12.75" customHeight="1">
      <c r="C2" s="1" t="s">
        <v>0</v>
      </c>
      <c r="K2" s="4" t="s">
        <v>2</v>
      </c>
    </row>
    <row r="3" spans="3:18" ht="15.75">
      <c r="C3" s="5" t="s">
        <v>3</v>
      </c>
      <c r="D3" s="1"/>
      <c r="E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 ht="12.75">
      <c r="C4" s="14"/>
      <c r="D4" s="14"/>
      <c r="E4" s="14"/>
      <c r="F4" s="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3:18" ht="12.75">
      <c r="C5" s="14" t="s">
        <v>50</v>
      </c>
      <c r="D5" s="14"/>
      <c r="E5" s="14"/>
      <c r="F5" s="1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3:18" ht="12.75">
      <c r="C6" s="14" t="s">
        <v>51</v>
      </c>
      <c r="D6" s="14"/>
      <c r="E6" s="14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3:18" ht="12.75">
      <c r="C7" s="14" t="s">
        <v>52</v>
      </c>
      <c r="D7" s="14"/>
      <c r="E7" s="14"/>
      <c r="G7" s="2"/>
      <c r="H7" s="2"/>
      <c r="I7" s="2"/>
      <c r="J7" s="2"/>
      <c r="K7" s="2"/>
      <c r="L7" s="2"/>
      <c r="M7" s="2" t="s">
        <v>44</v>
      </c>
      <c r="N7" s="2" t="s">
        <v>43</v>
      </c>
      <c r="O7" s="2"/>
      <c r="P7" s="2"/>
      <c r="Q7" s="2"/>
      <c r="R7" s="2"/>
    </row>
    <row r="8" spans="3:18" ht="12.75">
      <c r="C8" s="14" t="s">
        <v>53</v>
      </c>
      <c r="D8" s="14"/>
      <c r="E8" s="14"/>
      <c r="G8" s="2"/>
      <c r="H8" s="2"/>
      <c r="I8" s="2"/>
      <c r="J8" s="2"/>
      <c r="K8" s="2"/>
      <c r="L8" s="2"/>
      <c r="M8" s="2" t="s">
        <v>46</v>
      </c>
      <c r="N8" s="2"/>
      <c r="O8" s="2"/>
      <c r="P8" s="2"/>
      <c r="Q8" s="2"/>
      <c r="R8" s="2"/>
    </row>
    <row r="9" spans="3:18" ht="12.75">
      <c r="C9" s="14" t="s">
        <v>54</v>
      </c>
      <c r="D9" s="14"/>
      <c r="E9" s="14"/>
      <c r="G9" s="2"/>
      <c r="H9" s="2" t="s">
        <v>15</v>
      </c>
      <c r="I9" s="2">
        <f>1.4666*C20</f>
        <v>73.33</v>
      </c>
      <c r="J9" s="2"/>
      <c r="K9" s="2"/>
      <c r="L9" s="2"/>
      <c r="M9" s="2">
        <v>0</v>
      </c>
      <c r="N9" s="2">
        <v>0</v>
      </c>
      <c r="O9" s="2"/>
      <c r="P9" s="2"/>
      <c r="Q9" s="2"/>
      <c r="R9" s="2"/>
    </row>
    <row r="10" spans="3:18" ht="12.75">
      <c r="C10" s="14" t="s">
        <v>55</v>
      </c>
      <c r="D10" s="14"/>
      <c r="E10" s="14"/>
      <c r="G10" s="2"/>
      <c r="H10" s="2" t="s">
        <v>14</v>
      </c>
      <c r="I10" s="2">
        <f>C21*1.46666</f>
        <v>87.9996</v>
      </c>
      <c r="J10" s="2"/>
      <c r="K10" s="2"/>
      <c r="L10" s="2"/>
      <c r="M10" s="2">
        <f>I19</f>
        <v>183.325</v>
      </c>
      <c r="N10" s="2">
        <f>K19</f>
        <v>2.5</v>
      </c>
      <c r="O10" s="2"/>
      <c r="P10" s="2"/>
      <c r="Q10" s="2"/>
      <c r="R10" s="2"/>
    </row>
    <row r="11" spans="5:18" ht="12.75">
      <c r="E11" s="14"/>
      <c r="G11" s="2"/>
      <c r="H11" s="2" t="s">
        <v>16</v>
      </c>
      <c r="I11" s="2">
        <f>1.4666*C24</f>
        <v>65.997</v>
      </c>
      <c r="J11" s="2"/>
      <c r="K11" s="2"/>
      <c r="L11" s="2"/>
      <c r="M11" s="2"/>
      <c r="N11" s="2"/>
      <c r="O11" s="2"/>
      <c r="P11" s="2"/>
      <c r="Q11" s="2"/>
      <c r="R11" s="2"/>
    </row>
    <row r="12" spans="3:18" ht="12.75">
      <c r="C12" s="3" t="s">
        <v>56</v>
      </c>
      <c r="E12" s="1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3:18" ht="12.75">
      <c r="C13" s="3" t="s">
        <v>57</v>
      </c>
      <c r="E13" s="1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3:18" ht="12.75">
      <c r="C14" s="3" t="s">
        <v>58</v>
      </c>
      <c r="E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5:18" ht="12.75">
      <c r="E15" s="1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3:18" ht="12.75">
      <c r="C16" s="3" t="s">
        <v>59</v>
      </c>
      <c r="E16" s="1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3:18" ht="12.75">
      <c r="C17" s="3" t="s">
        <v>60</v>
      </c>
      <c r="E17" s="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7:18" ht="12.75">
      <c r="G18" s="2"/>
      <c r="H18" s="2" t="s">
        <v>17</v>
      </c>
      <c r="I18" s="2">
        <f>1.46667*C25</f>
        <v>73.3335</v>
      </c>
      <c r="J18" s="2"/>
      <c r="K18" s="2"/>
      <c r="L18" s="2"/>
      <c r="M18" s="2" t="s">
        <v>45</v>
      </c>
      <c r="N18" s="2"/>
      <c r="O18" s="2"/>
      <c r="P18" s="2"/>
      <c r="Q18" s="2"/>
      <c r="R18" s="2"/>
    </row>
    <row r="19" spans="5:18" ht="12.75">
      <c r="E19" s="14"/>
      <c r="G19" s="2"/>
      <c r="H19" s="2" t="s">
        <v>18</v>
      </c>
      <c r="I19" s="2">
        <f>I9*C22</f>
        <v>183.325</v>
      </c>
      <c r="J19" s="2" t="s">
        <v>23</v>
      </c>
      <c r="K19" s="2">
        <f>C22</f>
        <v>2.5</v>
      </c>
      <c r="L19" s="2"/>
      <c r="M19" s="2">
        <f>K22</f>
        <v>2204.7886676262683</v>
      </c>
      <c r="N19" s="2">
        <v>0</v>
      </c>
      <c r="O19" s="2"/>
      <c r="P19" s="2"/>
      <c r="Q19" s="2"/>
      <c r="R19" s="2"/>
    </row>
    <row r="20" spans="3:18" ht="12.75">
      <c r="C20" s="16">
        <v>50</v>
      </c>
      <c r="D20" s="15" t="s">
        <v>4</v>
      </c>
      <c r="E20" s="14"/>
      <c r="G20" s="2"/>
      <c r="H20" s="2" t="s">
        <v>19</v>
      </c>
      <c r="I20" s="2">
        <f>(I10^2-I9^2)/(2*1.46667*C23)</f>
        <v>537.8716639644003</v>
      </c>
      <c r="J20" s="2" t="s">
        <v>24</v>
      </c>
      <c r="K20" s="2">
        <f>(I10-I9)/(1.4666*C23)</f>
        <v>6.668303104686578</v>
      </c>
      <c r="L20" s="2"/>
      <c r="M20" s="2">
        <f>M19-1.2*(K24+K25)*I18</f>
        <v>1010.0211281661705</v>
      </c>
      <c r="N20" s="2">
        <f>1.2*(K24+K25)</f>
        <v>16.292247601165876</v>
      </c>
      <c r="O20" s="2"/>
      <c r="P20" s="2"/>
      <c r="Q20" s="2"/>
      <c r="R20" s="2"/>
    </row>
    <row r="21" spans="3:18" ht="12.75">
      <c r="C21" s="17">
        <v>60</v>
      </c>
      <c r="D21" s="3" t="s">
        <v>12</v>
      </c>
      <c r="E21" s="1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3:18" ht="12.75">
      <c r="C22" s="17">
        <v>2.5</v>
      </c>
      <c r="D22" s="3" t="s">
        <v>13</v>
      </c>
      <c r="E22" s="14"/>
      <c r="G22" s="2"/>
      <c r="H22" s="2"/>
      <c r="I22" s="2"/>
      <c r="J22" s="2" t="s">
        <v>42</v>
      </c>
      <c r="K22" s="2">
        <f>I24+I25+I27+(K24+K25)*I18</f>
        <v>2204.7886676262683</v>
      </c>
      <c r="L22" s="2"/>
      <c r="M22" s="2" t="s">
        <v>22</v>
      </c>
      <c r="N22" s="2"/>
      <c r="O22" s="2"/>
      <c r="P22" s="2"/>
      <c r="Q22" s="2"/>
      <c r="R22" s="2"/>
    </row>
    <row r="23" spans="3:18" ht="12.75">
      <c r="C23" s="17">
        <v>1.5</v>
      </c>
      <c r="D23" s="3" t="s">
        <v>20</v>
      </c>
      <c r="E23" s="14"/>
      <c r="F23" s="14"/>
      <c r="G23" s="2"/>
      <c r="H23" s="2"/>
      <c r="I23" s="2"/>
      <c r="J23" s="2"/>
      <c r="K23" s="2"/>
      <c r="L23" s="2"/>
      <c r="M23" s="2">
        <f>I24</f>
        <v>721.1966639644004</v>
      </c>
      <c r="N23" s="2">
        <f>K24</f>
        <v>9.16830310468658</v>
      </c>
      <c r="O23" s="2"/>
      <c r="P23" s="2"/>
      <c r="Q23" s="2"/>
      <c r="R23" s="2"/>
    </row>
    <row r="24" spans="3:18" ht="12.75">
      <c r="C24" s="18">
        <v>45</v>
      </c>
      <c r="D24" s="15" t="s">
        <v>5</v>
      </c>
      <c r="E24" s="14"/>
      <c r="F24" s="14"/>
      <c r="G24" s="2"/>
      <c r="H24" s="2" t="s">
        <v>21</v>
      </c>
      <c r="I24" s="2">
        <f>I19+I20</f>
        <v>721.1966639644004</v>
      </c>
      <c r="J24" s="2" t="s">
        <v>25</v>
      </c>
      <c r="K24" s="2">
        <f>K19+K20</f>
        <v>9.16830310468658</v>
      </c>
      <c r="L24" s="2"/>
      <c r="M24" s="2">
        <f>I24+I25</f>
        <v>1109.1490514095203</v>
      </c>
      <c r="N24" s="2">
        <f>K24+K25</f>
        <v>13.576873000971563</v>
      </c>
      <c r="O24" s="2"/>
      <c r="P24" s="2"/>
      <c r="Q24" s="2"/>
      <c r="R24" s="2"/>
    </row>
    <row r="25" spans="3:18" ht="12.75">
      <c r="C25" s="19">
        <v>50</v>
      </c>
      <c r="D25" s="15" t="s">
        <v>6</v>
      </c>
      <c r="E25" s="14"/>
      <c r="F25" s="14"/>
      <c r="G25" s="2"/>
      <c r="H25" s="2" t="s">
        <v>22</v>
      </c>
      <c r="I25" s="2">
        <f>K25*I10</f>
        <v>387.95238744512005</v>
      </c>
      <c r="J25" s="2" t="s">
        <v>26</v>
      </c>
      <c r="K25" s="2">
        <f>(C27+C28+C31+C32)/(I10-I11)</f>
        <v>4.408569896284984</v>
      </c>
      <c r="L25" s="2"/>
      <c r="M25" s="2"/>
      <c r="N25" s="2"/>
      <c r="O25" s="2"/>
      <c r="P25" s="2"/>
      <c r="Q25" s="2"/>
      <c r="R25" s="2"/>
    </row>
    <row r="26" spans="3:18" ht="12.75">
      <c r="C26" s="20"/>
      <c r="D26" s="6"/>
      <c r="E26" s="14"/>
      <c r="F26" s="14"/>
      <c r="G26" s="2"/>
      <c r="H26" s="2" t="s">
        <v>27</v>
      </c>
      <c r="I26" s="2">
        <f>K26*I18</f>
        <v>215.52841835374</v>
      </c>
      <c r="J26" s="2" t="s">
        <v>28</v>
      </c>
      <c r="K26" s="2">
        <f>0.66666*K25</f>
        <v>2.9390172070573475</v>
      </c>
      <c r="L26" s="2"/>
      <c r="M26" s="2" t="s">
        <v>47</v>
      </c>
      <c r="N26" s="2"/>
      <c r="O26" s="2"/>
      <c r="P26" s="2"/>
      <c r="Q26" s="2"/>
      <c r="R26" s="2"/>
    </row>
    <row r="27" spans="3:18" ht="12.75">
      <c r="C27" s="16">
        <v>22</v>
      </c>
      <c r="D27" s="15" t="s">
        <v>7</v>
      </c>
      <c r="G27" s="2"/>
      <c r="H27" s="2" t="s">
        <v>29</v>
      </c>
      <c r="I27" s="2">
        <f>C33</f>
        <v>100</v>
      </c>
      <c r="J27" s="2"/>
      <c r="K27" s="2"/>
      <c r="L27" s="2"/>
      <c r="M27" s="2">
        <f>M24</f>
        <v>1109.1490514095203</v>
      </c>
      <c r="N27" s="2">
        <f>N24</f>
        <v>13.576873000971563</v>
      </c>
      <c r="O27" s="2"/>
      <c r="P27" s="2"/>
      <c r="Q27" s="2"/>
      <c r="R27" s="2"/>
    </row>
    <row r="28" spans="3:18" ht="12.75">
      <c r="C28" s="19">
        <v>35</v>
      </c>
      <c r="D28" s="15" t="s">
        <v>8</v>
      </c>
      <c r="G28" s="2"/>
      <c r="H28" s="2"/>
      <c r="I28" s="2"/>
      <c r="J28" s="2"/>
      <c r="K28" s="2"/>
      <c r="L28" s="2"/>
      <c r="M28" s="2">
        <f>(N28-N27)*I10+M27</f>
        <v>1348.1009300767798</v>
      </c>
      <c r="N28" s="2">
        <f>1.2*N27</f>
        <v>16.292247601165876</v>
      </c>
      <c r="O28" s="2"/>
      <c r="P28" s="2"/>
      <c r="Q28" s="2"/>
      <c r="R28" s="2"/>
    </row>
    <row r="29" spans="3:18" ht="12.75">
      <c r="C29" s="2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3:18" ht="12.75">
      <c r="C30" s="20"/>
      <c r="D30" s="6"/>
      <c r="G30" s="2"/>
      <c r="H30" s="2"/>
      <c r="I30" s="2"/>
      <c r="J30" s="2"/>
      <c r="K30" s="2"/>
      <c r="L30" s="2"/>
      <c r="M30" s="2" t="s">
        <v>48</v>
      </c>
      <c r="N30" s="2"/>
      <c r="O30" s="2"/>
      <c r="P30" s="2"/>
      <c r="Q30" s="2"/>
      <c r="R30" s="2"/>
    </row>
    <row r="31" spans="3:18" ht="12.75">
      <c r="C31" s="16">
        <v>20</v>
      </c>
      <c r="D31" s="15" t="s">
        <v>9</v>
      </c>
      <c r="G31" s="2"/>
      <c r="H31" s="2"/>
      <c r="I31" s="2"/>
      <c r="J31" s="2"/>
      <c r="K31" s="2"/>
      <c r="L31" s="2"/>
      <c r="M31" s="2">
        <f>I24+C31+C28-(K24*I11)</f>
        <v>171.11616396440024</v>
      </c>
      <c r="N31" s="2">
        <v>0</v>
      </c>
      <c r="O31" s="2"/>
      <c r="P31" s="2"/>
      <c r="Q31" s="2"/>
      <c r="R31" s="2"/>
    </row>
    <row r="32" spans="3:18" ht="12.75">
      <c r="C32" s="18">
        <v>20</v>
      </c>
      <c r="D32" s="15" t="s">
        <v>11</v>
      </c>
      <c r="G32" s="2"/>
      <c r="H32" s="2"/>
      <c r="I32" s="2"/>
      <c r="J32" s="2"/>
      <c r="K32" s="2"/>
      <c r="L32" s="2"/>
      <c r="M32" s="2">
        <f>M31+N32*I11</f>
        <v>1246.3556288985446</v>
      </c>
      <c r="N32" s="2">
        <f>N28</f>
        <v>16.292247601165876</v>
      </c>
      <c r="O32" s="2"/>
      <c r="P32" s="2"/>
      <c r="Q32" s="2"/>
      <c r="R32" s="2"/>
    </row>
    <row r="33" spans="3:18" ht="12.75">
      <c r="C33" s="22">
        <v>100</v>
      </c>
      <c r="D33" s="15" t="s">
        <v>10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7:18" ht="12.75">
      <c r="G34" s="2"/>
      <c r="H34" s="2"/>
      <c r="I34" s="2"/>
      <c r="J34" s="2"/>
      <c r="K34" s="2"/>
      <c r="L34" s="2"/>
      <c r="M34" s="2" t="s">
        <v>49</v>
      </c>
      <c r="N34" s="2"/>
      <c r="O34" s="2"/>
      <c r="P34" s="2"/>
      <c r="Q34" s="2"/>
      <c r="R34" s="2"/>
    </row>
    <row r="35" spans="12:16" ht="12.75">
      <c r="L35" s="2"/>
      <c r="M35" s="2">
        <f>$M$10+$I$9*(N35-$N$35)+0.5*($C$23*1.46666)*(N35-$N$35)^2</f>
        <v>183.325</v>
      </c>
      <c r="N35" s="2">
        <f>K19</f>
        <v>2.5</v>
      </c>
      <c r="O35" s="2"/>
      <c r="P35" s="2"/>
    </row>
    <row r="36" spans="3:16" ht="13.5" thickBot="1">
      <c r="C36" s="9" t="s">
        <v>37</v>
      </c>
      <c r="D36" s="9"/>
      <c r="E36" s="9"/>
      <c r="F36" s="9"/>
      <c r="I36" s="9" t="s">
        <v>36</v>
      </c>
      <c r="J36" s="9"/>
      <c r="K36" s="9"/>
      <c r="L36" s="2"/>
      <c r="M36" s="2">
        <f aca="true" t="shared" si="0" ref="M36:M45">$M$10+$I$9*(N36-$N$35)+0.5*($C$23*1.46666)*(N36-$N$35)^2</f>
        <v>232.71279337260907</v>
      </c>
      <c r="N36" s="2">
        <f>N35+0.1*K20</f>
        <v>3.166830310468658</v>
      </c>
      <c r="O36" s="2"/>
      <c r="P36" s="2"/>
    </row>
    <row r="37" spans="3:16" ht="12.75">
      <c r="C37" s="7">
        <f>I19</f>
        <v>183.325</v>
      </c>
      <c r="D37" s="3" t="s">
        <v>30</v>
      </c>
      <c r="I37" s="7">
        <f>I25</f>
        <v>387.95238744512005</v>
      </c>
      <c r="J37" s="3" t="s">
        <v>34</v>
      </c>
      <c r="L37" s="2"/>
      <c r="M37" s="2">
        <f t="shared" si="0"/>
        <v>283.0788401571029</v>
      </c>
      <c r="N37" s="2">
        <f>N36+0.1*$K$20</f>
        <v>3.833660620937316</v>
      </c>
      <c r="O37" s="2"/>
      <c r="P37" s="2"/>
    </row>
    <row r="38" spans="3:16" ht="12.75">
      <c r="C38" s="7">
        <f>C22</f>
        <v>2.5</v>
      </c>
      <c r="D38" s="3" t="s">
        <v>31</v>
      </c>
      <c r="I38" s="8">
        <f>K25</f>
        <v>4.408569896284984</v>
      </c>
      <c r="J38" s="3" t="s">
        <v>35</v>
      </c>
      <c r="L38" s="2"/>
      <c r="M38" s="2">
        <f t="shared" si="0"/>
        <v>334.42314035348153</v>
      </c>
      <c r="N38" s="2">
        <f aca="true" t="shared" si="1" ref="N38:N46">N37+0.1*$K$20</f>
        <v>4.500490931405974</v>
      </c>
      <c r="O38" s="2"/>
      <c r="P38" s="2"/>
    </row>
    <row r="39" spans="3:16" ht="12.75">
      <c r="C39" s="7">
        <f>I20</f>
        <v>537.8716639644003</v>
      </c>
      <c r="D39" s="3" t="s">
        <v>32</v>
      </c>
      <c r="L39" s="2"/>
      <c r="M39" s="2">
        <f t="shared" si="0"/>
        <v>386.7456939617449</v>
      </c>
      <c r="N39" s="2">
        <f t="shared" si="1"/>
        <v>5.167321241874632</v>
      </c>
      <c r="O39" s="2"/>
      <c r="P39" s="2"/>
    </row>
    <row r="40" spans="3:16" ht="12.75">
      <c r="C40" s="7">
        <f>K20</f>
        <v>6.668303104686578</v>
      </c>
      <c r="D40" s="3" t="s">
        <v>33</v>
      </c>
      <c r="L40" s="2"/>
      <c r="M40" s="2">
        <f t="shared" si="0"/>
        <v>440.046500981893</v>
      </c>
      <c r="N40" s="2">
        <f t="shared" si="1"/>
        <v>5.83415155234329</v>
      </c>
      <c r="O40" s="2"/>
      <c r="P40" s="2"/>
    </row>
    <row r="41" spans="3:16" ht="12.75">
      <c r="C41" s="7">
        <f>C37+C39</f>
        <v>721.1966639644004</v>
      </c>
      <c r="D41" s="3" t="s">
        <v>34</v>
      </c>
      <c r="L41" s="2"/>
      <c r="M41" s="2">
        <f t="shared" si="0"/>
        <v>494.3255614139259</v>
      </c>
      <c r="N41" s="2">
        <f t="shared" si="1"/>
        <v>6.500981862811948</v>
      </c>
      <c r="O41" s="2"/>
      <c r="P41" s="2"/>
    </row>
    <row r="42" spans="3:16" ht="12.75">
      <c r="C42" s="8">
        <f>C38+C40</f>
        <v>9.16830310468658</v>
      </c>
      <c r="D42" s="3" t="s">
        <v>35</v>
      </c>
      <c r="L42" s="2"/>
      <c r="M42" s="2">
        <f t="shared" si="0"/>
        <v>549.5828752578436</v>
      </c>
      <c r="N42" s="2">
        <f t="shared" si="1"/>
        <v>7.1678121732806055</v>
      </c>
      <c r="O42" s="2"/>
      <c r="P42" s="2"/>
    </row>
    <row r="43" spans="12:16" ht="12.75">
      <c r="L43" s="2"/>
      <c r="M43" s="2">
        <f t="shared" si="0"/>
        <v>605.8184425136461</v>
      </c>
      <c r="N43" s="2">
        <f t="shared" si="1"/>
        <v>7.834642483749263</v>
      </c>
      <c r="O43" s="2"/>
      <c r="P43" s="2"/>
    </row>
    <row r="44" spans="3:16" ht="13.5" thickBot="1">
      <c r="C44" s="9" t="s">
        <v>38</v>
      </c>
      <c r="D44" s="9"/>
      <c r="E44" s="9"/>
      <c r="I44" s="9" t="s">
        <v>40</v>
      </c>
      <c r="J44" s="9"/>
      <c r="K44" s="9"/>
      <c r="L44" s="2"/>
      <c r="M44" s="2">
        <f t="shared" si="0"/>
        <v>663.0322631813333</v>
      </c>
      <c r="N44" s="2">
        <f t="shared" si="1"/>
        <v>8.501472794217921</v>
      </c>
      <c r="O44" s="2"/>
      <c r="P44" s="2"/>
    </row>
    <row r="45" spans="3:16" ht="12.75">
      <c r="C45" s="10">
        <f>C33</f>
        <v>100</v>
      </c>
      <c r="D45" s="3" t="s">
        <v>39</v>
      </c>
      <c r="I45" s="7">
        <f>I26</f>
        <v>215.52841835374</v>
      </c>
      <c r="J45" s="3" t="s">
        <v>39</v>
      </c>
      <c r="L45" s="2"/>
      <c r="M45" s="2">
        <f t="shared" si="0"/>
        <v>721.2243372609053</v>
      </c>
      <c r="N45" s="2">
        <f t="shared" si="1"/>
        <v>9.16830310468658</v>
      </c>
      <c r="O45" s="2"/>
      <c r="P45" s="2"/>
    </row>
    <row r="46" spans="3:16" ht="12.75">
      <c r="C46" s="13"/>
      <c r="I46" s="8">
        <f>K26</f>
        <v>2.9390172070573475</v>
      </c>
      <c r="J46" s="3" t="s">
        <v>35</v>
      </c>
      <c r="L46" s="2"/>
      <c r="M46" s="2"/>
      <c r="N46" s="2"/>
      <c r="O46" s="2"/>
      <c r="P46" s="2"/>
    </row>
    <row r="47" spans="12:16" ht="12.75">
      <c r="L47" s="2"/>
      <c r="M47" s="2"/>
      <c r="N47" s="2"/>
      <c r="O47" s="2"/>
      <c r="P47" s="2"/>
    </row>
    <row r="49" spans="7:8" ht="12.75">
      <c r="G49" s="12" t="s">
        <v>41</v>
      </c>
      <c r="H49" s="11">
        <f>C41+C45+I37+I45</f>
        <v>1424.6774697632604</v>
      </c>
    </row>
  </sheetData>
  <sheetProtection password="E9CB" sheet="1" objects="1" scenarios="1"/>
  <mergeCells count="4">
    <mergeCell ref="C36:F36"/>
    <mergeCell ref="I36:K36"/>
    <mergeCell ref="C44:E44"/>
    <mergeCell ref="I44:K4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1998-06-26T14:29:17Z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