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03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<sst xmlns="http://schemas.openxmlformats.org/spreadsheetml/2006/main" count="17" uniqueCount="17">
  <si>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Theory &amp; Concepts:</t>
  </si>
  <si>
    <t xml:space="preserve">          </t>
  </si>
  <si>
    <t>If necessary, push the browser's BACK button to exit.</t>
  </si>
  <si>
    <t>Grade 1 (%):</t>
  </si>
  <si>
    <t>Grade 2 (%):</t>
  </si>
  <si>
    <t>Length of Curve (ft):</t>
  </si>
  <si>
    <t>A:</t>
  </si>
  <si>
    <t>S &gt; L Equation Results (L):</t>
  </si>
  <si>
    <t>A</t>
  </si>
  <si>
    <t>S &lt; L Equation Results (L):</t>
  </si>
  <si>
    <t>Adjust the variables listed below and watch</t>
  </si>
  <si>
    <t>how the crest vertical curve changes.</t>
  </si>
  <si>
    <t>The black line that cuts the curve is located</t>
  </si>
  <si>
    <t>at L/2.</t>
  </si>
  <si>
    <t>Sag Vertical Curves</t>
  </si>
  <si>
    <t>Headlight Height (ft):</t>
  </si>
  <si>
    <t>Sight Distance(ft):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</si>
</sst>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167" fontId="0" fillId="2" borderId="2" xfId="0" applyNumberFormat="1" applyFill="1" applyBorder="1" applyAlignment="1" applyProtection="1">
      <alignment/>
      <protection hidden="1"/>
    </xf>
    <xf numFmtId="167" fontId="0" fillId="2" borderId="0" xfId="0" applyNumberFormat="1" applyFill="1" applyBorder="1" applyAlignment="1" applyProtection="1">
      <alignment/>
      <protection hidden="1"/>
    </xf>
    <xf numFmtId="167" fontId="1" fillId="2" borderId="0" xfId="0" applyNumberFormat="1" applyFont="1" applyFill="1" applyAlignment="1" applyProtection="1">
      <alignment/>
      <protection hidden="1"/>
    </xf>
    <xf numFmtId="167" fontId="0" fillId="2" borderId="1" xfId="0" applyNumberForma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/>
      <protection hidden="1"/>
    </xf>
    <xf numFmtId="0" fontId="0" fillId="0" borderId="1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Your Sag Vertical Curve</a:t>
            </a:r>
          </a:p>
        </c:rich>
      </c:tx>
      <c:layout>
        <c:manualLayout>
          <c:xMode val="factor"/>
          <c:yMode val="factor"/>
          <c:x val="0.0365"/>
          <c:y val="0.75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75"/>
          <c:w val="0.88275"/>
          <c:h val="0.673"/>
        </c:manualLayout>
      </c:layout>
      <c:scatterChart>
        <c:scatterStyle val="smooth"/>
        <c:varyColors val="0"/>
        <c:ser>
          <c:idx val="0"/>
          <c:order val="0"/>
          <c:tx>
            <c:v>Crest Vertical Curve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Demo!$I$9:$I$19</c:f>
              <c:numCache/>
            </c:numRef>
          </c:xVal>
          <c:yVal>
            <c:numRef>
              <c:f>Demo!$J$9:$J$19</c:f>
              <c:numCache/>
            </c:numRef>
          </c:yVal>
          <c:smooth val="1"/>
        </c:ser>
        <c:ser>
          <c:idx val="1"/>
          <c:order val="1"/>
          <c:tx>
            <c:v>L/2 Point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Demo!$K$14:$K$15</c:f>
              <c:numCache/>
            </c:numRef>
          </c:xVal>
          <c:yVal>
            <c:numRef>
              <c:f>Demo!$L$14:$L$15</c:f>
              <c:numCache/>
            </c:numRef>
          </c:yVal>
          <c:smooth val="1"/>
        </c:ser>
        <c:axId val="61789610"/>
        <c:axId val="19235579"/>
      </c:scatterChart>
      <c:valAx>
        <c:axId val="61789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Distance from VPC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35579"/>
        <c:crosses val="max"/>
        <c:crossBetween val="midCat"/>
        <c:dispUnits/>
      </c:valAx>
      <c:valAx>
        <c:axId val="19235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961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</xdr:row>
      <xdr:rowOff>123825</xdr:rowOff>
    </xdr:from>
    <xdr:to>
      <xdr:col>13</xdr:col>
      <xdr:colOff>133350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857500" y="447675"/>
        <a:ext cx="37433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38"/>
  <sheetViews>
    <sheetView tabSelected="1" workbookViewId="0" topLeftCell="A3">
      <selection activeCell="F17" sqref="F17"/>
    </sheetView>
  </sheetViews>
  <sheetFormatPr defaultColWidth="9.140625" defaultRowHeight="12.75"/>
  <cols>
    <col min="1" max="1" width="2.421875" style="3" customWidth="1"/>
    <col min="2" max="2" width="0.5625" style="3" customWidth="1"/>
    <col min="3" max="6" width="9.140625" style="3" customWidth="1"/>
    <col min="7" max="7" width="2.140625" style="3" customWidth="1"/>
    <col min="8" max="12" width="9.140625" style="3" customWidth="1"/>
    <col min="13" max="13" width="9.57421875" style="3" bestFit="1" customWidth="1"/>
    <col min="14" max="16384" width="9.140625" style="3" customWidth="1"/>
  </cols>
  <sheetData>
    <row r="1" ht="12.75">
      <c r="C1" s="3" t="s">
        <v>1</v>
      </c>
    </row>
    <row r="2" spans="3:12" ht="12.75" customHeight="1">
      <c r="C2" s="1" t="s">
        <v>0</v>
      </c>
      <c r="L2" s="4" t="s">
        <v>2</v>
      </c>
    </row>
    <row r="3" spans="3:14" ht="15.75">
      <c r="C3" s="5" t="s">
        <v>14</v>
      </c>
      <c r="D3" s="1"/>
      <c r="E3" s="1"/>
      <c r="H3" s="2"/>
      <c r="I3" s="2"/>
      <c r="J3" s="2"/>
      <c r="K3" s="2"/>
      <c r="L3" s="2"/>
      <c r="M3" s="2"/>
      <c r="N3" s="2"/>
    </row>
    <row r="4" spans="3:15" ht="12.75">
      <c r="C4" s="8"/>
      <c r="D4" s="8"/>
      <c r="E4" s="8"/>
      <c r="F4" s="8"/>
      <c r="G4" s="8"/>
      <c r="O4" s="2">
        <f>IF(F20&lt;F13,1,0)</f>
        <v>1</v>
      </c>
    </row>
    <row r="5" spans="3:15" ht="12.75">
      <c r="C5" s="8" t="s">
        <v>10</v>
      </c>
      <c r="D5" s="8"/>
      <c r="E5" s="8"/>
      <c r="F5" s="8"/>
      <c r="G5" s="8"/>
      <c r="N5" s="8"/>
      <c r="O5" s="2">
        <f>IF(F21&gt;F13,2,0)</f>
        <v>0</v>
      </c>
    </row>
    <row r="6" spans="3:15" ht="12.75">
      <c r="C6" s="8" t="s">
        <v>11</v>
      </c>
      <c r="D6" s="8"/>
      <c r="E6" s="8"/>
      <c r="F6" s="8"/>
      <c r="G6" s="8"/>
      <c r="H6" s="8"/>
      <c r="I6" s="2"/>
      <c r="J6" s="2"/>
      <c r="K6" s="2"/>
      <c r="L6" s="2"/>
      <c r="M6" s="2"/>
      <c r="N6" s="8"/>
      <c r="O6" s="2">
        <f>SUM(O4:O5)</f>
        <v>1</v>
      </c>
    </row>
    <row r="7" spans="3:14" ht="12.75">
      <c r="C7" s="8" t="s">
        <v>12</v>
      </c>
      <c r="D7" s="8"/>
      <c r="E7" s="8"/>
      <c r="F7" s="8"/>
      <c r="G7" s="8"/>
      <c r="I7" s="2"/>
      <c r="J7" s="2" t="s">
        <v>8</v>
      </c>
      <c r="K7" s="2">
        <f>F12-F11</f>
        <v>5</v>
      </c>
      <c r="L7" s="2"/>
      <c r="M7" s="2"/>
      <c r="N7" s="8"/>
    </row>
    <row r="8" spans="3:14" ht="12.75">
      <c r="C8" s="8" t="s">
        <v>13</v>
      </c>
      <c r="D8" s="8"/>
      <c r="E8" s="8"/>
      <c r="F8" s="8"/>
      <c r="G8" s="8"/>
      <c r="I8" s="2"/>
      <c r="J8" s="2"/>
      <c r="K8" s="2"/>
      <c r="L8" s="2"/>
      <c r="M8" s="2"/>
      <c r="N8" s="8"/>
    </row>
    <row r="9" spans="3:14" ht="12.75">
      <c r="C9" s="8"/>
      <c r="D9" s="8"/>
      <c r="E9" s="8"/>
      <c r="F9" s="8"/>
      <c r="G9" s="8"/>
      <c r="H9" s="8"/>
      <c r="I9" s="2">
        <v>0</v>
      </c>
      <c r="J9" s="2">
        <v>0</v>
      </c>
      <c r="K9" s="2"/>
      <c r="L9" s="2"/>
      <c r="M9" s="2"/>
      <c r="N9" s="8"/>
    </row>
    <row r="10" spans="3:14" ht="12.75">
      <c r="C10" s="8"/>
      <c r="D10" s="8"/>
      <c r="E10" s="8"/>
      <c r="F10" s="8"/>
      <c r="G10" s="8"/>
      <c r="H10" s="8"/>
      <c r="I10" s="2">
        <f>F18*0.1</f>
        <v>25.053922086138897</v>
      </c>
      <c r="J10" s="2">
        <f>$F$11/100*I10+($K$7*I10^2)/(200*$F$18)</f>
        <v>-0.9395220782302086</v>
      </c>
      <c r="K10" s="2"/>
      <c r="L10" s="2"/>
      <c r="M10" s="2"/>
      <c r="N10" s="8"/>
    </row>
    <row r="11" spans="3:14" ht="12.75">
      <c r="C11" s="8"/>
      <c r="E11" s="9" t="s">
        <v>3</v>
      </c>
      <c r="F11" s="17">
        <v>-4</v>
      </c>
      <c r="G11" s="10"/>
      <c r="H11" s="8"/>
      <c r="I11" s="2">
        <f>F18*0.2</f>
        <v>50.107844172277794</v>
      </c>
      <c r="J11" s="2">
        <f>$F$11/100*I11+($K$7*I11^2)/(200*$F$18)</f>
        <v>-1.7537745460297227</v>
      </c>
      <c r="K11" s="2"/>
      <c r="L11" s="2"/>
      <c r="M11" s="2"/>
      <c r="N11" s="8"/>
    </row>
    <row r="12" spans="3:14" ht="12.75">
      <c r="C12" s="8"/>
      <c r="E12" s="9" t="s">
        <v>4</v>
      </c>
      <c r="F12" s="18">
        <v>1</v>
      </c>
      <c r="G12" s="10"/>
      <c r="H12" s="8"/>
      <c r="I12" s="2">
        <f>0.3*F18</f>
        <v>75.16176625841669</v>
      </c>
      <c r="J12" s="2">
        <f>$F$11/100*I12+($K$7*I12^2)/(200*$F$18)</f>
        <v>-2.4427574033985424</v>
      </c>
      <c r="K12" s="2"/>
      <c r="L12" s="2"/>
      <c r="M12" s="2"/>
      <c r="N12" s="8"/>
    </row>
    <row r="13" spans="3:14" ht="12.75">
      <c r="C13" s="8"/>
      <c r="E13" s="9" t="s">
        <v>16</v>
      </c>
      <c r="F13" s="18">
        <v>300</v>
      </c>
      <c r="G13" s="10"/>
      <c r="H13" s="8"/>
      <c r="I13" s="2">
        <f>0.4*F18</f>
        <v>100.21568834455559</v>
      </c>
      <c r="J13" s="2">
        <f>$F$11/100*I13+($K$7*I13^2)/(200*$F$18)</f>
        <v>-3.0064706503366674</v>
      </c>
      <c r="K13" s="2"/>
      <c r="L13" s="2"/>
      <c r="M13" s="2"/>
      <c r="N13" s="8"/>
    </row>
    <row r="14" spans="3:14" ht="12.75">
      <c r="C14" s="8"/>
      <c r="E14" s="9" t="s">
        <v>15</v>
      </c>
      <c r="F14" s="19">
        <v>3.5</v>
      </c>
      <c r="G14" s="10"/>
      <c r="H14" s="8"/>
      <c r="I14" s="2">
        <f>0.5*F18</f>
        <v>125.26961043069448</v>
      </c>
      <c r="J14" s="2">
        <f>$F$11/100*I14+($K$7*I14^2)/(200*$F$18)</f>
        <v>-3.4449142868440985</v>
      </c>
      <c r="K14" s="2">
        <f>I14</f>
        <v>125.26961043069448</v>
      </c>
      <c r="L14" s="2">
        <f>J14-0.2*J14</f>
        <v>-2.755931429475279</v>
      </c>
      <c r="M14" s="2"/>
      <c r="N14" s="8"/>
    </row>
    <row r="15" spans="3:14" ht="12.75">
      <c r="C15" s="8"/>
      <c r="E15" s="9"/>
      <c r="F15" s="10"/>
      <c r="G15" s="10"/>
      <c r="H15" s="8"/>
      <c r="I15" s="2">
        <f>0.6*F18</f>
        <v>150.32353251683338</v>
      </c>
      <c r="J15" s="2">
        <f>$F$11/100*I15+($K$7*I15^2)/(200*$F$18)</f>
        <v>-3.758088312920835</v>
      </c>
      <c r="K15" s="2">
        <f>K14</f>
        <v>125.26961043069448</v>
      </c>
      <c r="L15" s="2">
        <f>J14+0.2*J14</f>
        <v>-4.133897144212918</v>
      </c>
      <c r="M15" s="2"/>
      <c r="N15" s="8"/>
    </row>
    <row r="16" spans="3:14" ht="12.75">
      <c r="C16" s="8"/>
      <c r="E16" s="9"/>
      <c r="F16" s="8"/>
      <c r="G16" s="8"/>
      <c r="H16" s="8"/>
      <c r="I16" s="2">
        <f>0.7*F18</f>
        <v>175.37745460297228</v>
      </c>
      <c r="J16" s="2">
        <f>$F$11/100*I16+($K$7*I16^2)/(200*$F$18)</f>
        <v>-3.945992728566876</v>
      </c>
      <c r="K16" s="2"/>
      <c r="L16" s="2"/>
      <c r="M16" s="2"/>
      <c r="N16" s="8"/>
    </row>
    <row r="17" spans="3:14" ht="12.75">
      <c r="C17" s="8"/>
      <c r="E17" s="4" t="s">
        <v>6</v>
      </c>
      <c r="F17" s="6">
        <f>ABS(F12-F11)</f>
        <v>5</v>
      </c>
      <c r="G17" s="7"/>
      <c r="H17" s="8"/>
      <c r="I17" s="2">
        <f>0.8*F18</f>
        <v>200.43137668911118</v>
      </c>
      <c r="J17" s="2">
        <f>$F$11/100*I17+($K$7*I17^2)/(200*$F$18)</f>
        <v>-4.0086275337822235</v>
      </c>
      <c r="K17" s="2"/>
      <c r="L17" s="2"/>
      <c r="M17" s="2"/>
      <c r="N17" s="8"/>
    </row>
    <row r="18" spans="3:14" ht="12.75">
      <c r="C18" s="8"/>
      <c r="E18" s="9" t="s">
        <v>5</v>
      </c>
      <c r="F18" s="11">
        <f>IF(OR(O6=2,O6=3),F21,F20)</f>
        <v>250.53922086138897</v>
      </c>
      <c r="G18" s="12"/>
      <c r="H18" s="8"/>
      <c r="I18" s="2">
        <f>0.9*F18</f>
        <v>225.48529877525007</v>
      </c>
      <c r="J18" s="2">
        <f>$F$11/100*I18+($K$7*I18^2)/(200*$F$18)</f>
        <v>-3.9459927285668766</v>
      </c>
      <c r="K18" s="2"/>
      <c r="L18" s="2"/>
      <c r="M18" s="2"/>
      <c r="N18" s="8"/>
    </row>
    <row r="19" spans="8:14" ht="12.75">
      <c r="H19" s="8"/>
      <c r="I19" s="13">
        <f>F18</f>
        <v>250.53922086138897</v>
      </c>
      <c r="J19" s="2">
        <f>$F$11/100*I19+($K$7*I19^2)/(200*$F$18)</f>
        <v>-3.758088312920835</v>
      </c>
      <c r="K19" s="2"/>
      <c r="L19" s="2"/>
      <c r="M19" s="2"/>
      <c r="N19" s="8"/>
    </row>
    <row r="20" spans="3:14" ht="12.75">
      <c r="C20" s="8"/>
      <c r="E20" s="9" t="s">
        <v>7</v>
      </c>
      <c r="F20" s="14">
        <f>2*F13-((200*(F14+F13*TAN(RADIANS(1))))/F17)</f>
        <v>250.53922086138897</v>
      </c>
      <c r="G20" s="12"/>
      <c r="H20" s="15">
        <f>IF(F20&gt;F13,"FALSE ASSUMPTION","")</f>
      </c>
      <c r="I20" s="2"/>
      <c r="M20" s="2"/>
      <c r="N20" s="8"/>
    </row>
    <row r="21" spans="5:8" ht="12.75">
      <c r="E21" s="4" t="s">
        <v>9</v>
      </c>
      <c r="F21" s="11">
        <f>((F17*F13^2)/(200*(F14+F13*TAN(RADIANS(1)))))</f>
        <v>257.539630690007</v>
      </c>
      <c r="G21" s="12"/>
      <c r="H21" s="16" t="str">
        <f>IF(F21&lt;F13,"FALSE ASSUMPTION","")</f>
        <v>FALSE ASSUMPTION</v>
      </c>
    </row>
    <row r="22" spans="8:13" ht="12.75">
      <c r="H22" s="8"/>
      <c r="M22" s="8"/>
    </row>
    <row r="23" spans="8:13" ht="12.75">
      <c r="H23" s="2"/>
      <c r="M23" s="8"/>
    </row>
    <row r="24" spans="8:13" ht="12.75">
      <c r="H24" s="2"/>
      <c r="I24" s="2"/>
      <c r="J24" s="2"/>
      <c r="K24" s="2"/>
      <c r="L24" s="2"/>
      <c r="M24" s="2"/>
    </row>
    <row r="25" spans="8:13" ht="12.75">
      <c r="H25" s="2"/>
      <c r="I25" s="2"/>
      <c r="J25" s="2"/>
      <c r="K25" s="2"/>
      <c r="L25" s="2"/>
      <c r="M25" s="2"/>
    </row>
    <row r="26" spans="8:13" ht="12.75">
      <c r="H26" s="2"/>
      <c r="I26" s="2"/>
      <c r="J26" s="2"/>
      <c r="K26" s="2"/>
      <c r="L26" s="2"/>
      <c r="M26" s="2"/>
    </row>
    <row r="27" spans="8:13" ht="12.75">
      <c r="H27" s="2"/>
      <c r="I27" s="2"/>
      <c r="J27" s="2"/>
      <c r="K27" s="2"/>
      <c r="L27" s="2"/>
      <c r="M27" s="2"/>
    </row>
    <row r="28" spans="8:13" ht="12.75">
      <c r="H28" s="2"/>
      <c r="I28" s="2"/>
      <c r="J28" s="2"/>
      <c r="K28" s="2"/>
      <c r="L28" s="2"/>
      <c r="M28" s="2"/>
    </row>
    <row r="29" spans="8:13" ht="12.75">
      <c r="H29" s="2"/>
      <c r="I29" s="2"/>
      <c r="J29" s="2"/>
      <c r="K29" s="2"/>
      <c r="L29" s="2"/>
      <c r="M29" s="2"/>
    </row>
    <row r="30" spans="8:13" ht="12.75">
      <c r="H30" s="2"/>
      <c r="I30" s="2"/>
      <c r="J30" s="2"/>
      <c r="K30" s="2"/>
      <c r="L30" s="2"/>
      <c r="M30" s="2"/>
    </row>
    <row r="31" spans="8:13" ht="12.75">
      <c r="H31" s="2"/>
      <c r="I31" s="2"/>
      <c r="J31" s="2"/>
      <c r="K31" s="2"/>
      <c r="L31" s="2"/>
      <c r="M31" s="2"/>
    </row>
    <row r="32" spans="8:13" ht="12.75">
      <c r="H32" s="2"/>
      <c r="I32" s="2"/>
      <c r="J32" s="2"/>
      <c r="K32" s="2"/>
      <c r="L32" s="2"/>
      <c r="M32" s="2"/>
    </row>
    <row r="33" spans="8:13" ht="12.75">
      <c r="H33" s="2"/>
      <c r="I33" s="2"/>
      <c r="J33" s="2"/>
      <c r="K33" s="2"/>
      <c r="L33" s="2"/>
      <c r="M33" s="2"/>
    </row>
    <row r="34" spans="8:13" ht="12.75">
      <c r="H34" s="2"/>
      <c r="I34" s="2"/>
      <c r="J34" s="2"/>
      <c r="K34" s="2"/>
      <c r="L34" s="2"/>
      <c r="M34" s="2"/>
    </row>
    <row r="35" spans="8:13" ht="12.75">
      <c r="H35" s="2"/>
      <c r="I35" s="2"/>
      <c r="J35" s="2"/>
      <c r="K35" s="2"/>
      <c r="L35" s="2"/>
      <c r="M35" s="2"/>
    </row>
    <row r="36" spans="8:13" ht="12.75">
      <c r="H36" s="2"/>
      <c r="I36" s="2"/>
      <c r="J36" s="2"/>
      <c r="K36" s="2"/>
      <c r="L36" s="2"/>
      <c r="M36" s="2"/>
    </row>
    <row r="37" spans="8:13" ht="12.75">
      <c r="H37" s="2"/>
      <c r="I37" s="2"/>
      <c r="J37" s="2"/>
      <c r="K37" s="2"/>
      <c r="L37" s="2"/>
      <c r="M37" s="2"/>
    </row>
    <row r="38" spans="8:13" ht="12.75">
      <c r="H38" s="2"/>
      <c r="I38" s="2"/>
      <c r="J38" s="2"/>
      <c r="K38" s="2"/>
      <c r="L38" s="2"/>
      <c r="M38" s="2"/>
    </row>
  </sheetData>
  <sheetProtection password="E9CB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1998-06-26T14:29:17Z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