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75" windowWidth="13200" windowHeight="9270" tabRatio="1000"/>
  </bookViews>
  <sheets>
    <sheet name="Title" sheetId="23" r:id="rId1"/>
    <sheet name="T1 Summary" sheetId="18" r:id="rId2"/>
    <sheet name="T2 Calendar, Small Farm" sheetId="20" r:id="rId3"/>
    <sheet name="T3 Budget, Small Farm" sheetId="21" r:id="rId4"/>
    <sheet name="T4-T5 Mach. Costs, Small Farm" sheetId="22" r:id="rId5"/>
    <sheet name="T6 Calendar, Large Farm" sheetId="3" r:id="rId6"/>
    <sheet name="T7 Budget, Large Farm " sheetId="12" r:id="rId7"/>
    <sheet name="T8-T9 Mach. Costs, Large Farm" sheetId="9" r:id="rId8"/>
  </sheets>
  <externalReferences>
    <externalReference r:id="rId9"/>
  </externalReferences>
  <definedNames>
    <definedName name="Compost">#REF!</definedName>
    <definedName name="Diesel">'[1]Input Prices'!$D$5</definedName>
    <definedName name="Entrust">#REF!</definedName>
    <definedName name="FertApplicator">'[1]Input Prices'!$D$41</definedName>
    <definedName name="FishFert">#REF!</definedName>
    <definedName name="Gypsum">#REF!</definedName>
    <definedName name="L">#REF!</definedName>
    <definedName name="Labor">'[1]Input Prices'!$D$9</definedName>
    <definedName name="Nitrogen">'[1]Input Prices'!$D$21</definedName>
    <definedName name="Phosphorous">'[1]Input Prices'!$D$22</definedName>
    <definedName name="_xlnm.Print_Area" localSheetId="1">'T1 Summary'!$B$2:$F$36</definedName>
    <definedName name="_xlnm.Print_Area" localSheetId="2">'T2 Calendar, Small Farm'!$B$2:$E$21</definedName>
    <definedName name="_xlnm.Print_Area" localSheetId="3">'T3 Budget, Small Farm'!$B$7:$K$111</definedName>
    <definedName name="_xlnm.Print_Area" localSheetId="4">'T4-T5 Mach. Costs, Small Farm'!$A$1:$M$55</definedName>
    <definedName name="_xlnm.Print_Area" localSheetId="5">'T6 Calendar, Large Farm'!$B$2:$E$32</definedName>
    <definedName name="_xlnm.Print_Area" localSheetId="6">'T7 Budget, Large Farm '!$B$7:$K$107</definedName>
    <definedName name="_xlnm.Print_Area" localSheetId="7">'T8-T9 Mach. Costs, Large Farm'!$B$1:$M$47</definedName>
    <definedName name="_xlnm.Print_Titles" localSheetId="3">'T3 Budget, Small Farm'!$7:$11</definedName>
    <definedName name="_xlnm.Print_Titles" localSheetId="6">'T7 Budget, Large Farm '!$7:$11</definedName>
    <definedName name="Sprayer">'[1]Input Prices'!$D$37</definedName>
    <definedName name="Sulfur">'[1]Input Prices'!$D$23</definedName>
  </definedNames>
  <calcPr calcId="144525"/>
</workbook>
</file>

<file path=xl/calcChain.xml><?xml version="1.0" encoding="utf-8"?>
<calcChain xmlns="http://schemas.openxmlformats.org/spreadsheetml/2006/main">
  <c r="H28" i="18" l="1"/>
  <c r="F28" i="18"/>
  <c r="H23" i="18"/>
  <c r="F23" i="18"/>
  <c r="H21" i="18"/>
  <c r="H20" i="18"/>
  <c r="H19" i="18"/>
  <c r="H18" i="18"/>
  <c r="H17" i="18"/>
  <c r="F21" i="18"/>
  <c r="F20" i="18"/>
  <c r="F19" i="18"/>
  <c r="F18" i="18"/>
  <c r="F17" i="18"/>
  <c r="H13" i="18"/>
  <c r="H12" i="18"/>
  <c r="H11" i="18"/>
  <c r="H10" i="18"/>
  <c r="F13" i="18"/>
  <c r="F12" i="18"/>
  <c r="F11" i="18"/>
  <c r="F10" i="18"/>
  <c r="H6" i="18"/>
  <c r="H5" i="18" s="1"/>
  <c r="F6" i="18"/>
  <c r="F5" i="18" s="1"/>
  <c r="H32" i="18"/>
  <c r="H30" i="18"/>
  <c r="H34" i="18" l="1"/>
  <c r="H14" i="18"/>
  <c r="H25" i="18"/>
  <c r="J78" i="21"/>
  <c r="J75" i="21"/>
  <c r="J62" i="21"/>
  <c r="J59" i="21"/>
  <c r="J34" i="21"/>
  <c r="J30" i="21"/>
  <c r="J26" i="21"/>
  <c r="J21" i="21"/>
  <c r="J17" i="21"/>
  <c r="D53" i="22"/>
  <c r="L40" i="22"/>
  <c r="K40" i="22"/>
  <c r="J40" i="22"/>
  <c r="F40" i="22"/>
  <c r="M40" i="22" s="1"/>
  <c r="L39" i="22"/>
  <c r="K39" i="22"/>
  <c r="J39" i="22"/>
  <c r="F39" i="22"/>
  <c r="M39" i="22" s="1"/>
  <c r="C53" i="22"/>
  <c r="L36" i="22"/>
  <c r="K36" i="22"/>
  <c r="J36" i="22"/>
  <c r="F36" i="22"/>
  <c r="M36" i="22" l="1"/>
  <c r="D6" i="18" l="1"/>
  <c r="D7" i="18"/>
  <c r="J33" i="12" l="1"/>
  <c r="J36" i="21"/>
  <c r="J45" i="12"/>
  <c r="J44" i="12"/>
  <c r="L48" i="22"/>
  <c r="K48" i="22"/>
  <c r="J48" i="22"/>
  <c r="F48" i="22"/>
  <c r="M48" i="22" s="1"/>
  <c r="F52" i="22"/>
  <c r="D5" i="18" l="1"/>
  <c r="G47" i="9"/>
  <c r="H41" i="12" s="1"/>
  <c r="J19" i="12" l="1"/>
  <c r="J19" i="21"/>
  <c r="L38" i="22"/>
  <c r="K38" i="22"/>
  <c r="J38" i="22"/>
  <c r="F38" i="22"/>
  <c r="M38" i="22" s="1"/>
  <c r="L34" i="9"/>
  <c r="K34" i="9"/>
  <c r="J34" i="9"/>
  <c r="F34" i="9"/>
  <c r="L35" i="9"/>
  <c r="K35" i="9"/>
  <c r="J35" i="9"/>
  <c r="F35" i="9"/>
  <c r="J48" i="21"/>
  <c r="L33" i="9"/>
  <c r="K33" i="9"/>
  <c r="J33" i="9"/>
  <c r="F33" i="9"/>
  <c r="I47" i="9"/>
  <c r="H40" i="12" s="1"/>
  <c r="J40" i="12" s="1"/>
  <c r="H47" i="9"/>
  <c r="J41" i="12"/>
  <c r="E47" i="9"/>
  <c r="H68" i="12" s="1"/>
  <c r="J68" i="12" s="1"/>
  <c r="D47" i="9"/>
  <c r="H67" i="12" s="1"/>
  <c r="J67" i="12" s="1"/>
  <c r="C47" i="9"/>
  <c r="H66" i="12" s="1"/>
  <c r="J66" i="12" s="1"/>
  <c r="I53" i="22"/>
  <c r="H42" i="21" s="1"/>
  <c r="J42" i="21" s="1"/>
  <c r="D11" i="18" s="1"/>
  <c r="H53" i="22"/>
  <c r="G53" i="22"/>
  <c r="H43" i="21" s="1"/>
  <c r="J43" i="21" s="1"/>
  <c r="D13" i="18" s="1"/>
  <c r="H70" i="21"/>
  <c r="J70" i="21" s="1"/>
  <c r="H71" i="21"/>
  <c r="J71" i="21" s="1"/>
  <c r="E53" i="22"/>
  <c r="H72" i="21" s="1"/>
  <c r="J72" i="21" s="1"/>
  <c r="L47" i="22"/>
  <c r="K47" i="22"/>
  <c r="J47" i="22"/>
  <c r="F47" i="22"/>
  <c r="L52" i="22"/>
  <c r="K52" i="22"/>
  <c r="J52" i="22"/>
  <c r="L51" i="22"/>
  <c r="K51" i="22"/>
  <c r="J51" i="22"/>
  <c r="F51" i="22"/>
  <c r="L50" i="22"/>
  <c r="K50" i="22"/>
  <c r="J50" i="22"/>
  <c r="F50" i="22"/>
  <c r="L49" i="22"/>
  <c r="K49" i="22"/>
  <c r="J49" i="22"/>
  <c r="F49" i="22"/>
  <c r="L46" i="22"/>
  <c r="K46" i="22"/>
  <c r="J46" i="22"/>
  <c r="F46" i="22"/>
  <c r="M46" i="22" s="1"/>
  <c r="L45" i="22"/>
  <c r="K45" i="22"/>
  <c r="J45" i="22"/>
  <c r="F45" i="22"/>
  <c r="L44" i="22"/>
  <c r="K44" i="22"/>
  <c r="J44" i="22"/>
  <c r="F44" i="22"/>
  <c r="L43" i="22"/>
  <c r="K43" i="22"/>
  <c r="J43" i="22"/>
  <c r="F43" i="22"/>
  <c r="L42" i="22"/>
  <c r="K42" i="22"/>
  <c r="J42" i="22"/>
  <c r="F42" i="22"/>
  <c r="L37" i="22"/>
  <c r="K37" i="22"/>
  <c r="J37" i="22"/>
  <c r="M37" i="22"/>
  <c r="F37" i="22"/>
  <c r="L35" i="22"/>
  <c r="K35" i="22"/>
  <c r="J35" i="22"/>
  <c r="F35" i="22"/>
  <c r="L40" i="9"/>
  <c r="K40" i="9"/>
  <c r="J40" i="9"/>
  <c r="F40" i="9"/>
  <c r="J35" i="21"/>
  <c r="F103" i="21"/>
  <c r="H103" i="21" s="1"/>
  <c r="F93" i="21"/>
  <c r="H93" i="21" s="1"/>
  <c r="J73" i="21"/>
  <c r="J53" i="21"/>
  <c r="K49" i="21"/>
  <c r="J47" i="21"/>
  <c r="J38" i="21"/>
  <c r="J37" i="21"/>
  <c r="J32" i="21"/>
  <c r="J31" i="21"/>
  <c r="J28" i="21"/>
  <c r="J27" i="21"/>
  <c r="J24" i="21"/>
  <c r="J23" i="21"/>
  <c r="J22" i="21"/>
  <c r="J18" i="21"/>
  <c r="J13" i="21"/>
  <c r="J30" i="12"/>
  <c r="K46" i="12"/>
  <c r="L44" i="9"/>
  <c r="K44" i="9"/>
  <c r="J44" i="9"/>
  <c r="M44" i="9" s="1"/>
  <c r="F44" i="9"/>
  <c r="L38" i="9"/>
  <c r="K38" i="9"/>
  <c r="J38" i="9"/>
  <c r="M38" i="9" s="1"/>
  <c r="F38" i="9"/>
  <c r="L41" i="9"/>
  <c r="K41" i="9"/>
  <c r="J41" i="9"/>
  <c r="M41" i="9" s="1"/>
  <c r="F41" i="9"/>
  <c r="L42" i="9"/>
  <c r="K42" i="9"/>
  <c r="J42" i="9"/>
  <c r="M42" i="9" s="1"/>
  <c r="F42" i="9"/>
  <c r="L46" i="9"/>
  <c r="K46" i="9"/>
  <c r="J46" i="9"/>
  <c r="M46" i="9" s="1"/>
  <c r="F46" i="9"/>
  <c r="L39" i="9"/>
  <c r="K39" i="9"/>
  <c r="J39" i="9"/>
  <c r="F39" i="9"/>
  <c r="L43" i="9"/>
  <c r="K43" i="9"/>
  <c r="J43" i="9"/>
  <c r="F43" i="9"/>
  <c r="L45" i="9"/>
  <c r="K45" i="9"/>
  <c r="J45" i="9"/>
  <c r="F45" i="9"/>
  <c r="L37" i="9"/>
  <c r="K37" i="9"/>
  <c r="J37" i="9"/>
  <c r="F37" i="9"/>
  <c r="L32" i="9"/>
  <c r="K32" i="9"/>
  <c r="J32" i="9"/>
  <c r="F32" i="9"/>
  <c r="L31" i="9"/>
  <c r="K31" i="9"/>
  <c r="J31" i="9"/>
  <c r="M31" i="9" s="1"/>
  <c r="F31" i="9"/>
  <c r="L30" i="9"/>
  <c r="L47" i="9" s="1"/>
  <c r="D39" i="12" s="1"/>
  <c r="J39" i="12" s="1"/>
  <c r="K30" i="9"/>
  <c r="J30" i="9"/>
  <c r="F30" i="9"/>
  <c r="J23" i="12"/>
  <c r="J29" i="12"/>
  <c r="J22" i="12"/>
  <c r="F89" i="12"/>
  <c r="H89" i="12" s="1"/>
  <c r="F99" i="12"/>
  <c r="H99" i="12" s="1"/>
  <c r="J36" i="12"/>
  <c r="J35" i="12"/>
  <c r="J34" i="12"/>
  <c r="J69" i="12"/>
  <c r="J50" i="12"/>
  <c r="J26" i="12"/>
  <c r="J18" i="12"/>
  <c r="J13" i="12"/>
  <c r="M35" i="22" l="1"/>
  <c r="M72" i="21"/>
  <c r="J32" i="12"/>
  <c r="D103" i="21"/>
  <c r="J47" i="9"/>
  <c r="M32" i="9"/>
  <c r="M37" i="9"/>
  <c r="M45" i="9"/>
  <c r="M43" i="9"/>
  <c r="M39" i="9"/>
  <c r="M33" i="9"/>
  <c r="K53" i="22"/>
  <c r="D49" i="21" s="1"/>
  <c r="J49" i="21" s="1"/>
  <c r="D12" i="18" s="1"/>
  <c r="M51" i="22"/>
  <c r="M50" i="22"/>
  <c r="L53" i="22"/>
  <c r="D41" i="21" s="1"/>
  <c r="J41" i="21" s="1"/>
  <c r="D10" i="18" s="1"/>
  <c r="M49" i="22"/>
  <c r="M45" i="22"/>
  <c r="M44" i="22"/>
  <c r="M43" i="22"/>
  <c r="M42" i="22"/>
  <c r="M30" i="9"/>
  <c r="M47" i="9" s="1"/>
  <c r="M40" i="9"/>
  <c r="M35" i="9"/>
  <c r="M34" i="9"/>
  <c r="F47" i="9"/>
  <c r="K47" i="9"/>
  <c r="D46" i="12" s="1"/>
  <c r="J46" i="12" s="1"/>
  <c r="J43" i="12" s="1"/>
  <c r="D20" i="18"/>
  <c r="J53" i="22"/>
  <c r="J25" i="12"/>
  <c r="J28" i="12"/>
  <c r="J17" i="12"/>
  <c r="F14" i="18"/>
  <c r="D18" i="18"/>
  <c r="D19" i="18"/>
  <c r="D21" i="18"/>
  <c r="J21" i="12"/>
  <c r="J38" i="12"/>
  <c r="M52" i="22"/>
  <c r="M47" i="22"/>
  <c r="D30" i="18"/>
  <c r="F53" i="22"/>
  <c r="D28" i="18" s="1"/>
  <c r="D89" i="12"/>
  <c r="D99" i="12"/>
  <c r="D93" i="21"/>
  <c r="J71" i="12"/>
  <c r="H22" i="18" l="1"/>
  <c r="F22" i="18"/>
  <c r="J46" i="21"/>
  <c r="J40" i="21"/>
  <c r="H51" i="12"/>
  <c r="D14" i="18"/>
  <c r="M53" i="22"/>
  <c r="D17" i="18"/>
  <c r="D97" i="21"/>
  <c r="F97" i="21"/>
  <c r="F107" i="21"/>
  <c r="H107" i="21"/>
  <c r="H97" i="21"/>
  <c r="J76" i="21"/>
  <c r="D107" i="21"/>
  <c r="D103" i="12"/>
  <c r="F93" i="12"/>
  <c r="H93" i="12"/>
  <c r="F30" i="18"/>
  <c r="J72" i="12"/>
  <c r="H103" i="12"/>
  <c r="F103" i="12"/>
  <c r="D93" i="12"/>
  <c r="H54" i="21" l="1"/>
  <c r="J54" i="21" s="1"/>
  <c r="J52" i="21" s="1"/>
  <c r="J57" i="21" s="1"/>
  <c r="H95" i="21" s="1"/>
  <c r="J60" i="21" l="1"/>
  <c r="F105" i="21"/>
  <c r="H105" i="21"/>
  <c r="H109" i="21"/>
  <c r="D95" i="21"/>
  <c r="F95" i="21"/>
  <c r="D23" i="18"/>
  <c r="D22" i="18" s="1"/>
  <c r="D105" i="21"/>
  <c r="H99" i="21"/>
  <c r="J79" i="21"/>
  <c r="F109" i="21" l="1"/>
  <c r="F99" i="21"/>
  <c r="D99" i="21"/>
  <c r="D109" i="21"/>
  <c r="D32" i="18"/>
  <c r="D34" i="18" s="1"/>
  <c r="J81" i="21"/>
  <c r="D25" i="18"/>
  <c r="J51" i="12" l="1"/>
  <c r="J49" i="12" s="1"/>
  <c r="J54" i="12" s="1"/>
  <c r="J56" i="12" l="1"/>
  <c r="J57" i="12" s="1"/>
  <c r="J74" i="12" l="1"/>
  <c r="F95" i="12" s="1"/>
  <c r="F91" i="12"/>
  <c r="D101" i="12"/>
  <c r="D91" i="12"/>
  <c r="J59" i="12"/>
  <c r="H91" i="12"/>
  <c r="H101" i="12"/>
  <c r="F101" i="12"/>
  <c r="J75" i="12"/>
  <c r="J77" i="12"/>
  <c r="D105" i="12" l="1"/>
  <c r="H95" i="12"/>
  <c r="F32" i="18"/>
  <c r="F34" i="18" s="1"/>
  <c r="D95" i="12"/>
  <c r="F105" i="12"/>
  <c r="H105" i="12"/>
  <c r="F25" i="18"/>
</calcChain>
</file>

<file path=xl/comments1.xml><?xml version="1.0" encoding="utf-8"?>
<comments xmlns="http://schemas.openxmlformats.org/spreadsheetml/2006/main">
  <authors>
    <author>Kate Painter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The Russet Burbank potato seed is not organic. Since it is not readily available, it is permissible to use seed that is not organic.</t>
        </r>
      </text>
    </comment>
  </commentList>
</comments>
</file>

<file path=xl/comments2.xml><?xml version="1.0" encoding="utf-8"?>
<comments xmlns="http://schemas.openxmlformats.org/spreadsheetml/2006/main">
  <authors>
    <author>Kate Painter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The Russet Burbank potato seed is not organic. Since it is not readily available, it is permissible to use seed that is not organic.</t>
        </r>
      </text>
    </comment>
  </commentList>
</comments>
</file>

<file path=xl/sharedStrings.xml><?xml version="1.0" encoding="utf-8"?>
<sst xmlns="http://schemas.openxmlformats.org/spreadsheetml/2006/main" count="557" uniqueCount="281">
  <si>
    <t>Month</t>
  </si>
  <si>
    <t>Operation</t>
  </si>
  <si>
    <t>Tooling</t>
  </si>
  <si>
    <t>Materials/Service</t>
  </si>
  <si>
    <t>Fertilize</t>
  </si>
  <si>
    <t>Harvest</t>
  </si>
  <si>
    <t>Mark out</t>
  </si>
  <si>
    <t>Plant potatoes</t>
  </si>
  <si>
    <t>Dammer Diker</t>
  </si>
  <si>
    <t>Annual</t>
  </si>
  <si>
    <t>Taxes,</t>
  </si>
  <si>
    <t xml:space="preserve">Annual </t>
  </si>
  <si>
    <t>Repairs</t>
  </si>
  <si>
    <t>Gallons</t>
  </si>
  <si>
    <t>Housing,</t>
  </si>
  <si>
    <t>Type of</t>
  </si>
  <si>
    <t>Replacement</t>
  </si>
  <si>
    <t>Age When</t>
  </si>
  <si>
    <t>Years of</t>
  </si>
  <si>
    <t>Hours</t>
  </si>
  <si>
    <t>Salvage</t>
  </si>
  <si>
    <t>(Materials</t>
  </si>
  <si>
    <t>of</t>
  </si>
  <si>
    <t>Insur.,</t>
  </si>
  <si>
    <t>Labor</t>
  </si>
  <si>
    <t>Acres</t>
  </si>
  <si>
    <t>Machine</t>
  </si>
  <si>
    <t>Value</t>
  </si>
  <si>
    <t>Purchased</t>
  </si>
  <si>
    <t>Life</t>
  </si>
  <si>
    <t>of Use</t>
  </si>
  <si>
    <t>&amp; Labor)</t>
  </si>
  <si>
    <t>Fuel/Hr.</t>
  </si>
  <si>
    <t>Licenses</t>
  </si>
  <si>
    <t>Multiplier</t>
  </si>
  <si>
    <t>per Hour</t>
  </si>
  <si>
    <t>Tractors, ATVs:</t>
  </si>
  <si>
    <t>4WD-ATV</t>
  </si>
  <si>
    <t>Trucks:</t>
  </si>
  <si>
    <t>Miles/year:</t>
  </si>
  <si>
    <t>MPG:</t>
  </si>
  <si>
    <t>3/4-Ton Pickup</t>
  </si>
  <si>
    <t>6-row Dammer-Diker</t>
  </si>
  <si>
    <t>6-row Potato Planter</t>
  </si>
  <si>
    <t>3-row Potato Harvester</t>
  </si>
  <si>
    <t xml:space="preserve"> Equipment:</t>
  </si>
  <si>
    <t>20' Stubble Shredder</t>
  </si>
  <si>
    <t>Depreciation</t>
  </si>
  <si>
    <t>Interest</t>
  </si>
  <si>
    <t>Total</t>
  </si>
  <si>
    <t>Quantity</t>
  </si>
  <si>
    <t>Price or</t>
  </si>
  <si>
    <t>Value or</t>
  </si>
  <si>
    <t>Item</t>
  </si>
  <si>
    <t>Per Acre</t>
  </si>
  <si>
    <t>Unit</t>
  </si>
  <si>
    <t>Cost</t>
  </si>
  <si>
    <t>Cost/Acre</t>
  </si>
  <si>
    <t>Gross Returns</t>
  </si>
  <si>
    <t>Variable Costs</t>
  </si>
  <si>
    <t>Seed:</t>
  </si>
  <si>
    <t>Fertilizer:</t>
  </si>
  <si>
    <t>Pesticides:</t>
  </si>
  <si>
    <t>oz</t>
  </si>
  <si>
    <t>Custom &amp; Consultants:</t>
  </si>
  <si>
    <t>acre</t>
  </si>
  <si>
    <t>Other:</t>
  </si>
  <si>
    <t>Crop insurance</t>
  </si>
  <si>
    <t>Overhead</t>
  </si>
  <si>
    <t xml:space="preserve">Fuel </t>
  </si>
  <si>
    <t>gal</t>
  </si>
  <si>
    <t>Lubricants</t>
  </si>
  <si>
    <t xml:space="preserve">Machinery Repairs </t>
  </si>
  <si>
    <t>Operating Interest</t>
  </si>
  <si>
    <t>Total Variable Costs</t>
  </si>
  <si>
    <t>Variable Costs per Unit</t>
  </si>
  <si>
    <t>Net Returns Above Variable Costs</t>
  </si>
  <si>
    <t>Fixed Costs:</t>
  </si>
  <si>
    <t>Machinery depreciation</t>
  </si>
  <si>
    <t>Machinery interest</t>
  </si>
  <si>
    <t>Total Fixed Costs</t>
  </si>
  <si>
    <t>Fixed Costs per Unit</t>
  </si>
  <si>
    <t>Total Costs per Acre</t>
  </si>
  <si>
    <t>Total Cost per Unit</t>
  </si>
  <si>
    <t>Returns to Risk</t>
  </si>
  <si>
    <t>Notes:</t>
  </si>
  <si>
    <t>Breakeven Analysis:</t>
  </si>
  <si>
    <t>-</t>
  </si>
  <si>
    <t>Base</t>
  </si>
  <si>
    <t>+</t>
  </si>
  <si>
    <t>Yield</t>
  </si>
  <si>
    <t>Price</t>
  </si>
  <si>
    <t>Operating Cost Breakeven</t>
  </si>
  <si>
    <t>Ownership Cost Breakeven</t>
  </si>
  <si>
    <t>Total Cost Breakeven</t>
  </si>
  <si>
    <t>Land Rent</t>
  </si>
  <si>
    <t>ton</t>
  </si>
  <si>
    <t>Irrigation Water</t>
  </si>
  <si>
    <t>Irrigation Power</t>
  </si>
  <si>
    <t>Irrigation Repair</t>
  </si>
  <si>
    <t>hour</t>
  </si>
  <si>
    <t>cwt</t>
  </si>
  <si>
    <t>Fees &amp; Assessments</t>
  </si>
  <si>
    <t>($/acre)</t>
  </si>
  <si>
    <t xml:space="preserve">Compost </t>
  </si>
  <si>
    <t>Aerial application</t>
  </si>
  <si>
    <t>Irrigation:</t>
  </si>
  <si>
    <t>Machinery:</t>
  </si>
  <si>
    <t>Labor:</t>
  </si>
  <si>
    <t>Defoliate</t>
  </si>
  <si>
    <t>160HP-WT, 20' flail chopper</t>
  </si>
  <si>
    <t>160HP-WT, 3-row potato digger</t>
  </si>
  <si>
    <t>Spray pesticide</t>
  </si>
  <si>
    <t>Custom aerial</t>
  </si>
  <si>
    <t>Seasonal</t>
  </si>
  <si>
    <t>Irrigate</t>
  </si>
  <si>
    <t>Apply 3 gal liquid fish @ $2.50/gal with each irrigation</t>
  </si>
  <si>
    <t>Liquid fish</t>
  </si>
  <si>
    <t>Cultivate</t>
  </si>
  <si>
    <t>160HP-WT, 6-row cultivator</t>
  </si>
  <si>
    <t>160HP-WT, 6-row cultivator plus 16" straight tines</t>
  </si>
  <si>
    <t>6-row Cultivator</t>
  </si>
  <si>
    <t>160HP-WT</t>
  </si>
  <si>
    <t>Fixed Costs ($/acre):</t>
  </si>
  <si>
    <t>Variable Costs ($/acre):</t>
  </si>
  <si>
    <t>Fuel Use</t>
  </si>
  <si>
    <t>Total Cost</t>
  </si>
  <si>
    <t xml:space="preserve">  Taxes, Housing, Insurance, Licenses</t>
  </si>
  <si>
    <t>Total Fixed  Costs</t>
  </si>
  <si>
    <t xml:space="preserve">  Repairs </t>
  </si>
  <si>
    <t>Fuel &amp; Lub.</t>
  </si>
  <si>
    <t xml:space="preserve">(hr/acre) </t>
  </si>
  <si>
    <t>(gal/acre)</t>
  </si>
  <si>
    <t>Machinery costs for these implements are spread across every acre of the farm, regardless of crops produced:</t>
  </si>
  <si>
    <t>ATV</t>
  </si>
  <si>
    <t>New 3/4-ton pickup</t>
  </si>
  <si>
    <t>Used 3/4-ton pickup</t>
  </si>
  <si>
    <t>Machinery costs for these implements are specific to the operations for each crop:</t>
  </si>
  <si>
    <t>160HP-WT + 18' chisel &amp; harrow</t>
  </si>
  <si>
    <t>160HP-WT + 6-row cultivator</t>
  </si>
  <si>
    <t>160HP-WT, 6-row Harriston pick planter</t>
  </si>
  <si>
    <t>160HP-WT, 6-row dammer diker</t>
  </si>
  <si>
    <t>160HP-WT, 7-shank bed splitter &amp; 18' harrow</t>
  </si>
  <si>
    <t>18' Spike Harrow</t>
  </si>
  <si>
    <t xml:space="preserve">6-row Bed Splitter </t>
  </si>
  <si>
    <t>160-HPWT + 20' flail/shredder</t>
  </si>
  <si>
    <t>160HP-WT + 3-row potato harvester</t>
  </si>
  <si>
    <t>160HP-WT + 6-row potato planter</t>
  </si>
  <si>
    <t>160HP-WT + 6-row dammer-diker</t>
  </si>
  <si>
    <t>Total:</t>
  </si>
  <si>
    <t>Machinery Labor*</t>
  </si>
  <si>
    <t>Land rent includes fixed costs of the irrigation system, which is a center pivot with handlines. Note that organic potato production is at minimum a 4-year rotation of potatoes, grain, and 2 years of alfalfa. A longer 6-year rotation of potatoes, beans, grain, and 3 years of alfafa is also common.</t>
  </si>
  <si>
    <t>160HP-WT + 6-row cultivator + harrow</t>
  </si>
  <si>
    <t>Seed cut and treat</t>
  </si>
  <si>
    <t>Consultant/soil testing</t>
  </si>
  <si>
    <t>Solid set rental</t>
  </si>
  <si>
    <t>Humic acid</t>
  </si>
  <si>
    <t>Disc</t>
  </si>
  <si>
    <t>120HP-WT</t>
  </si>
  <si>
    <t>12' Disc</t>
  </si>
  <si>
    <t xml:space="preserve">150HP-WT </t>
  </si>
  <si>
    <t>150HP-WT, 12' disc</t>
  </si>
  <si>
    <t>Plow</t>
  </si>
  <si>
    <t>150HP-WT, 4-bottom plow/packer</t>
  </si>
  <si>
    <t>150HP-WT, 12' bedder</t>
  </si>
  <si>
    <t>Custom applied</t>
  </si>
  <si>
    <t>Plant</t>
  </si>
  <si>
    <t>Cut and treat with fir bark</t>
  </si>
  <si>
    <t>150HP-WT, planter and shank in 1 gal humic acid</t>
  </si>
  <si>
    <t>150HP-WT, 18' harrow</t>
  </si>
  <si>
    <t>150HP-WT, 12' Lilleston rolling cultivator</t>
  </si>
  <si>
    <t>Weeding</t>
  </si>
  <si>
    <t>Occasional handweeding</t>
  </si>
  <si>
    <t>150HP-WT, 12' flail chopper</t>
  </si>
  <si>
    <t>10 gal liquid fish and 1 gal humic acid per acre</t>
  </si>
  <si>
    <t>Applied through irrigation system</t>
  </si>
  <si>
    <t>Crop insurance, multi-peril</t>
  </si>
  <si>
    <t>4-bottom plow with packer</t>
  </si>
  <si>
    <t>12' bedder</t>
  </si>
  <si>
    <t>18' harrow</t>
  </si>
  <si>
    <t>12' Lilleston rolling cultivator</t>
  </si>
  <si>
    <t>12' flail chopper</t>
  </si>
  <si>
    <t>2-row side digger/windrower</t>
  </si>
  <si>
    <t>2-row harvester</t>
  </si>
  <si>
    <t>150-HPWT + 12' disc</t>
  </si>
  <si>
    <t>150-HPWT + 4B plow, packer</t>
  </si>
  <si>
    <t>150-HPWT + 12' bedder</t>
  </si>
  <si>
    <t>150-HPWT + 4-row planter</t>
  </si>
  <si>
    <t>150-HPWT + 12' flail chopper</t>
  </si>
  <si>
    <t>120-HPWT + 12' Lilliston harrow</t>
  </si>
  <si>
    <r>
      <t xml:space="preserve">Legend: </t>
    </r>
    <r>
      <rPr>
        <b/>
        <i/>
        <sz val="10"/>
        <rFont val="Arial"/>
        <family val="2"/>
      </rPr>
      <t>Follow directions below to preserve equations in the spreadsheet version of this document.</t>
    </r>
  </si>
  <si>
    <t>Legend: Follow directions below to preserve equations in the spreadsheet version of this document.</t>
  </si>
  <si>
    <t>Green Type: Data are from the annual University of Idaho survey of input suppliers.</t>
  </si>
  <si>
    <t>Machinery insur., housing, licenses</t>
  </si>
  <si>
    <t>150-HPWT + 18' harrow</t>
  </si>
  <si>
    <t>Yield (cwt/ac)</t>
  </si>
  <si>
    <t>Price ($/cwt)</t>
  </si>
  <si>
    <t>Total fixed production costs</t>
  </si>
  <si>
    <t>Total variable production costs:</t>
  </si>
  <si>
    <t>Seed</t>
  </si>
  <si>
    <t>Fertilizer</t>
  </si>
  <si>
    <t>Pesticides</t>
  </si>
  <si>
    <t>Custom &amp; consultants</t>
  </si>
  <si>
    <t>Irrigation</t>
  </si>
  <si>
    <t>Tandem Axle Truck</t>
  </si>
  <si>
    <t>Tandem axle truck</t>
  </si>
  <si>
    <t>150HP-WT, 4-row dammer diker</t>
  </si>
  <si>
    <t>Handweeding</t>
  </si>
  <si>
    <t xml:space="preserve">Potatoes, Russet Burbank </t>
  </si>
  <si>
    <t>Russet Burbank potato seed</t>
  </si>
  <si>
    <t>Blue Type: You may adjust these cells and all other data will adjust automatically.</t>
  </si>
  <si>
    <t>Orange Type:  Data are from the Machinery page (orange tab).</t>
  </si>
  <si>
    <t>Red Type: Data are from Summary page (red tab).</t>
  </si>
  <si>
    <t>Orange Type:  Data calculations are from the respective machinery worksheets (orange tabs).</t>
  </si>
  <si>
    <t>150HP-WT + 2-row harvester</t>
  </si>
  <si>
    <t>Revenue (yield x price, $/acre)</t>
  </si>
  <si>
    <t>Appendix Table 3. Production Costs for Organic Russet Burbank Potatoes Under Solid Set Irrigation, Small Farm, cont.</t>
  </si>
  <si>
    <t>Appendix Table 7. Production Costs for Organic Russet Burbank Potatoes Under Center Pivot Irrigation, Large  Farm, cont.</t>
  </si>
  <si>
    <t>Total variable machinery costs:</t>
  </si>
  <si>
    <t>Fixed machinery costs (depreciation, interest, housing, insurance):</t>
  </si>
  <si>
    <t>Variable machinery costs ($/acre):</t>
  </si>
  <si>
    <t>Fuel, at $2.65/gal</t>
  </si>
  <si>
    <t>Machine Labor, at $15.80/hr</t>
  </si>
  <si>
    <t>Variable production costs ($/acre):</t>
  </si>
  <si>
    <t>Fixed production costs ($/acre):</t>
  </si>
  <si>
    <t>Total production costs ($/acre):</t>
  </si>
  <si>
    <t>Net returns to risk ($/acre):</t>
  </si>
  <si>
    <t>Chisel/harrow</t>
  </si>
  <si>
    <t>160HP-WT,18' chisel and harrow</t>
  </si>
  <si>
    <t>4-row potato planter</t>
  </si>
  <si>
    <t>4-row dammer diker</t>
  </si>
  <si>
    <t>150-HPWT + 4-row dammer diker</t>
  </si>
  <si>
    <t>Irrigation Labor: solid sets</t>
  </si>
  <si>
    <t>move pipe 6 or 7 times (rented solid set handlines)</t>
  </si>
  <si>
    <r>
      <t>Land rent</t>
    </r>
    <r>
      <rPr>
        <b/>
        <sz val="11"/>
        <rFont val="Arial"/>
        <family val="2"/>
      </rPr>
      <t xml:space="preserve"> </t>
    </r>
  </si>
  <si>
    <t>Net returns over variable costs ($/acre):</t>
  </si>
  <si>
    <t>Other</t>
  </si>
  <si>
    <t>Spring</t>
  </si>
  <si>
    <t>Summer</t>
  </si>
  <si>
    <t>Fall</t>
  </si>
  <si>
    <t>4 tons of compost is applied to every acre</t>
  </si>
  <si>
    <t>Apply 4 tons of compost acre.</t>
  </si>
  <si>
    <t>Spinosid (Entrust)</t>
  </si>
  <si>
    <t>1.5 oz spinosid (Entrust) @ $32/oz</t>
  </si>
  <si>
    <t>3 oz spinosid (Entrust) @ $32/oz</t>
  </si>
  <si>
    <t>Used 3/4-ton pickup #1</t>
  </si>
  <si>
    <t>Used 3/4-ton pickup #2</t>
  </si>
  <si>
    <t>120HP-WT, 2-row side digger/windrower</t>
  </si>
  <si>
    <t>120HP-WT + 2-row digger/windrower</t>
  </si>
  <si>
    <t>Machinery Labor</t>
  </si>
  <si>
    <t>150HP-WT, 2-row harvester</t>
  </si>
  <si>
    <t>Table 1. Comparison of Production Costs and Net Returns for Organic Russet Burbank Potato Production by Scale and by Percent Sold with Organic Premium, ($/acre)</t>
  </si>
  <si>
    <t>Table 2. Schedule of Operations for Producing Organic Russet Burbank Potatoes Following Alfalfa, Smaller Farm Size</t>
  </si>
  <si>
    <r>
      <t xml:space="preserve">Smaller Farm: </t>
    </r>
    <r>
      <rPr>
        <sz val="12"/>
        <rFont val="Arial"/>
        <family val="2"/>
      </rPr>
      <t>30-50 acre potato field, 100% organic premium</t>
    </r>
  </si>
  <si>
    <r>
      <t xml:space="preserve">Larger Farm: </t>
    </r>
    <r>
      <rPr>
        <sz val="12"/>
        <rFont val="Arial"/>
        <family val="2"/>
      </rPr>
      <t>100-120 acre potato field, 100% organic premium</t>
    </r>
  </si>
  <si>
    <r>
      <t xml:space="preserve">Larger Farm: </t>
    </r>
    <r>
      <rPr>
        <sz val="12"/>
        <rFont val="Arial"/>
        <family val="2"/>
      </rPr>
      <t>100-120 acre potato field, 40% organic premium</t>
    </r>
    <r>
      <rPr>
        <vertAlign val="superscript"/>
        <sz val="12"/>
        <rFont val="Arial"/>
        <family val="2"/>
      </rPr>
      <t>1</t>
    </r>
  </si>
  <si>
    <t>price of $7.84/cwt is about 12% higher than the conventional price assumption of $7.00/cwt.</t>
  </si>
  <si>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 xml:space="preserve">An organic premium is received on just 40% of production, thus reducing the average price received by 6.4%. The organic </t>
    </r>
  </si>
  <si>
    <t xml:space="preserve"> Table 3. Production Costs for Organic Russet Burbank Potatoes Under Solid Set Irrigation, Small Farm</t>
  </si>
  <si>
    <t>Table 4. Machinery Complement for Organic Russet Burbank Potato Production, Small Farm</t>
  </si>
  <si>
    <t>Table 5. Machinery Costs ($/acre) for Organic Russet Burbank Potato Production, Small Farm</t>
  </si>
  <si>
    <t>Table 6. Schedule of Operations for Producing Organic Russet Burbank Potatoes Following Alfalfa Under Center Pivot Irrigation, Large Farm</t>
  </si>
  <si>
    <t>Table 7. Production Costs for Organic Russet Burbank Potatoes Under Center Pivot Irrigation, Large  Farm</t>
  </si>
  <si>
    <t>Table 8. Machinery Complement for Organic Russet Burbank Potato Production Under Center Pivot Irrigation, Large Farm</t>
  </si>
  <si>
    <t>Table 9. Machinery Costs ($/acre) for Organic Russet Burbank Potato Production Under Center Pivot Irrigation, Large Farm</t>
  </si>
  <si>
    <t>Analyst, Agricultural Economics &amp; Rural Sociology</t>
  </si>
  <si>
    <t>University of Idaho</t>
  </si>
  <si>
    <t>PO Box 442334</t>
  </si>
  <si>
    <t>Moscow ID 83844-2334</t>
  </si>
  <si>
    <t>(208) 885-6041</t>
  </si>
  <si>
    <t>kpainter@uidaho.edu</t>
  </si>
  <si>
    <t>Jennifer Miller, PhD</t>
  </si>
  <si>
    <t>Agriculture Program Coordinator</t>
  </si>
  <si>
    <t>Northwest Coalition for Alternatives to Pesticides</t>
  </si>
  <si>
    <t>Nora Olsen</t>
  </si>
  <si>
    <t>Extension Potato Specialist</t>
  </si>
  <si>
    <t>Twin Falls Research &amp; Extension Center</t>
  </si>
  <si>
    <t>Kathleen Painter</t>
  </si>
  <si>
    <t>norao@uidaho.edu</t>
  </si>
  <si>
    <t>millerjen@cableone.net</t>
  </si>
  <si>
    <t>Costs &amp; Returns for Irrigated Organic Russet Burbank Potatoes in Southern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</si>
</sst>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i/>
      <sz val="11"/>
      <name val="Arial"/>
      <family val="2"/>
    </font>
    <font>
      <sz val="10"/>
      <color rgb="FFFFC000"/>
      <name val="Arial"/>
      <family val="2"/>
    </font>
    <font>
      <sz val="10"/>
      <color rgb="FFF24F0E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color rgb="FF0070C0"/>
      <name val="Arial"/>
      <family val="2"/>
    </font>
    <font>
      <b/>
      <sz val="10"/>
      <color rgb="FFFF6600"/>
      <name val="Arial"/>
      <family val="2"/>
    </font>
    <font>
      <b/>
      <sz val="10"/>
      <color rgb="FFFF0000"/>
      <name val="Arial"/>
      <family val="2"/>
    </font>
    <font>
      <b/>
      <sz val="11"/>
      <color theme="1" tint="0.249977111117893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u/>
      <sz val="10"/>
      <color indexed="12"/>
      <name val="Arial"/>
      <family val="2"/>
    </font>
    <font>
      <b/>
      <sz val="13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3" borderId="1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0" fillId="2" borderId="0" xfId="0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0" fillId="7" borderId="0" xfId="0" applyFill="1"/>
    <xf numFmtId="164" fontId="0" fillId="7" borderId="0" xfId="0" applyNumberFormat="1" applyFill="1"/>
    <xf numFmtId="0" fontId="0" fillId="3" borderId="1" xfId="0" applyFill="1" applyBorder="1"/>
    <xf numFmtId="0" fontId="8" fillId="2" borderId="0" xfId="0" applyFont="1" applyFill="1"/>
    <xf numFmtId="0" fontId="8" fillId="0" borderId="0" xfId="0" applyFont="1"/>
    <xf numFmtId="0" fontId="3" fillId="2" borderId="0" xfId="0" applyFont="1" applyFill="1"/>
    <xf numFmtId="0" fontId="3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10" fillId="3" borderId="0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Border="1"/>
    <xf numFmtId="164" fontId="0" fillId="4" borderId="0" xfId="0" applyNumberFormat="1" applyFill="1" applyBorder="1" applyProtection="1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  <xf numFmtId="164" fontId="0" fillId="4" borderId="0" xfId="0" applyNumberFormat="1" applyFill="1"/>
    <xf numFmtId="0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64" fontId="3" fillId="4" borderId="0" xfId="0" applyNumberFormat="1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0" fillId="3" borderId="0" xfId="0" applyFont="1" applyFill="1"/>
    <xf numFmtId="49" fontId="0" fillId="3" borderId="0" xfId="0" applyNumberFormat="1" applyFill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0" fillId="0" borderId="0" xfId="0" applyNumberFormat="1" applyAlignment="1" applyProtection="1">
      <alignment horizontal="center"/>
      <protection locked="0"/>
    </xf>
    <xf numFmtId="0" fontId="0" fillId="7" borderId="0" xfId="0" applyFill="1"/>
    <xf numFmtId="0" fontId="4" fillId="7" borderId="0" xfId="0" applyFont="1" applyFill="1"/>
    <xf numFmtId="0" fontId="1" fillId="7" borderId="0" xfId="0" applyFont="1" applyFill="1"/>
    <xf numFmtId="0" fontId="9" fillId="7" borderId="0" xfId="0" applyFont="1" applyFill="1"/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3" fillId="7" borderId="0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3" fillId="3" borderId="0" xfId="0" applyNumberFormat="1" applyFont="1" applyFill="1" applyAlignment="1">
      <alignment horizontal="center"/>
    </xf>
    <xf numFmtId="16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left"/>
    </xf>
    <xf numFmtId="0" fontId="0" fillId="7" borderId="0" xfId="0" applyFill="1"/>
    <xf numFmtId="0" fontId="1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8" xfId="0" applyFont="1" applyFill="1" applyBorder="1"/>
    <xf numFmtId="0" fontId="1" fillId="3" borderId="7" xfId="0" applyFont="1" applyFill="1" applyBorder="1" applyAlignment="1">
      <alignment horizontal="center" wrapText="1"/>
    </xf>
    <xf numFmtId="2" fontId="1" fillId="3" borderId="8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7" fontId="1" fillId="9" borderId="9" xfId="0" applyNumberFormat="1" applyFont="1" applyFill="1" applyBorder="1" applyAlignment="1">
      <alignment horizontal="left"/>
    </xf>
    <xf numFmtId="7" fontId="1" fillId="9" borderId="9" xfId="0" applyNumberFormat="1" applyFont="1" applyFill="1" applyBorder="1" applyAlignment="1">
      <alignment horizontal="center"/>
    </xf>
    <xf numFmtId="7" fontId="1" fillId="9" borderId="10" xfId="0" applyNumberFormat="1" applyFont="1" applyFill="1" applyBorder="1" applyAlignment="1">
      <alignment horizontal="center"/>
    </xf>
    <xf numFmtId="39" fontId="1" fillId="9" borderId="10" xfId="0" applyNumberFormat="1" applyFont="1" applyFill="1" applyBorder="1" applyAlignment="1">
      <alignment horizontal="center"/>
    </xf>
    <xf numFmtId="0" fontId="7" fillId="6" borderId="10" xfId="0" applyFont="1" applyFill="1" applyBorder="1" applyAlignment="1"/>
    <xf numFmtId="0" fontId="6" fillId="6" borderId="10" xfId="0" applyFont="1" applyFill="1" applyBorder="1" applyAlignment="1"/>
    <xf numFmtId="7" fontId="1" fillId="6" borderId="10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7" fontId="1" fillId="6" borderId="9" xfId="0" applyNumberFormat="1" applyFont="1" applyFill="1" applyBorder="1" applyAlignment="1">
      <alignment horizontal="center"/>
    </xf>
    <xf numFmtId="0" fontId="6" fillId="6" borderId="9" xfId="0" applyFont="1" applyFill="1" applyBorder="1"/>
    <xf numFmtId="8" fontId="0" fillId="2" borderId="0" xfId="0" applyNumberFormat="1" applyFill="1"/>
    <xf numFmtId="164" fontId="3" fillId="10" borderId="10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right"/>
    </xf>
    <xf numFmtId="0" fontId="0" fillId="7" borderId="0" xfId="0" applyFill="1"/>
    <xf numFmtId="0" fontId="1" fillId="0" borderId="0" xfId="0" applyFont="1" applyBorder="1" applyAlignment="1" applyProtection="1">
      <alignment horizontal="center" vertical="center"/>
      <protection locked="0"/>
    </xf>
    <xf numFmtId="0" fontId="7" fillId="11" borderId="9" xfId="0" applyFont="1" applyFill="1" applyBorder="1" applyAlignment="1"/>
    <xf numFmtId="0" fontId="0" fillId="11" borderId="1" xfId="0" applyFill="1" applyBorder="1" applyAlignment="1"/>
    <xf numFmtId="0" fontId="0" fillId="11" borderId="5" xfId="0" applyFill="1" applyBorder="1" applyAlignment="1"/>
    <xf numFmtId="166" fontId="1" fillId="11" borderId="10" xfId="0" applyNumberFormat="1" applyFont="1" applyFill="1" applyBorder="1" applyAlignment="1">
      <alignment horizontal="left"/>
    </xf>
    <xf numFmtId="166" fontId="1" fillId="11" borderId="10" xfId="0" applyNumberFormat="1" applyFont="1" applyFill="1" applyBorder="1" applyAlignment="1">
      <alignment horizontal="right"/>
    </xf>
    <xf numFmtId="0" fontId="6" fillId="11" borderId="1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right"/>
    </xf>
    <xf numFmtId="3" fontId="6" fillId="11" borderId="10" xfId="0" applyNumberFormat="1" applyFont="1" applyFill="1" applyBorder="1" applyAlignment="1">
      <alignment horizontal="right"/>
    </xf>
    <xf numFmtId="2" fontId="6" fillId="11" borderId="10" xfId="0" applyNumberFormat="1" applyFont="1" applyFill="1" applyBorder="1" applyAlignment="1">
      <alignment horizontal="right"/>
    </xf>
    <xf numFmtId="2" fontId="0" fillId="11" borderId="1" xfId="0" applyNumberFormat="1" applyFill="1" applyBorder="1" applyAlignment="1"/>
    <xf numFmtId="0" fontId="7" fillId="11" borderId="9" xfId="0" applyFont="1" applyFill="1" applyBorder="1"/>
    <xf numFmtId="0" fontId="6" fillId="11" borderId="3" xfId="0" applyFont="1" applyFill="1" applyBorder="1" applyAlignment="1">
      <alignment horizontal="right"/>
    </xf>
    <xf numFmtId="0" fontId="6" fillId="11" borderId="3" xfId="0" applyFont="1" applyFill="1" applyBorder="1" applyAlignment="1">
      <alignment horizontal="center"/>
    </xf>
    <xf numFmtId="2" fontId="6" fillId="11" borderId="3" xfId="0" applyNumberFormat="1" applyFont="1" applyFill="1" applyBorder="1" applyAlignment="1">
      <alignment horizontal="right"/>
    </xf>
    <xf numFmtId="0" fontId="6" fillId="11" borderId="5" xfId="0" applyFont="1" applyFill="1" applyBorder="1" applyAlignment="1">
      <alignment horizontal="right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1" xfId="0" applyFont="1" applyFill="1" applyBorder="1"/>
    <xf numFmtId="0" fontId="1" fillId="5" borderId="6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8" borderId="3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/>
    </xf>
    <xf numFmtId="0" fontId="19" fillId="7" borderId="0" xfId="0" applyFont="1" applyFill="1" applyBorder="1"/>
    <xf numFmtId="0" fontId="19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21" fillId="7" borderId="0" xfId="0" applyFont="1" applyFill="1" applyBorder="1"/>
    <xf numFmtId="0" fontId="22" fillId="7" borderId="0" xfId="0" applyFont="1" applyFill="1" applyBorder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164" fontId="23" fillId="0" borderId="0" xfId="0" applyNumberFormat="1" applyFont="1" applyFill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center"/>
    </xf>
    <xf numFmtId="0" fontId="0" fillId="7" borderId="0" xfId="0" applyFill="1"/>
    <xf numFmtId="0" fontId="0" fillId="8" borderId="0" xfId="0" applyFill="1"/>
    <xf numFmtId="0" fontId="2" fillId="10" borderId="3" xfId="0" applyFont="1" applyFill="1" applyBorder="1" applyAlignment="1">
      <alignment wrapText="1"/>
    </xf>
    <xf numFmtId="44" fontId="9" fillId="8" borderId="0" xfId="0" applyNumberFormat="1" applyFont="1" applyFill="1" applyBorder="1" applyAlignment="1"/>
    <xf numFmtId="166" fontId="9" fillId="8" borderId="0" xfId="0" applyNumberFormat="1" applyFont="1" applyFill="1" applyBorder="1" applyAlignment="1">
      <alignment horizontal="center"/>
    </xf>
    <xf numFmtId="166" fontId="9" fillId="8" borderId="0" xfId="0" applyNumberFormat="1" applyFont="1" applyFill="1" applyAlignment="1">
      <alignment horizontal="right" indent="4"/>
    </xf>
    <xf numFmtId="166" fontId="9" fillId="8" borderId="0" xfId="0" applyNumberFormat="1" applyFont="1" applyFill="1" applyBorder="1" applyAlignment="1">
      <alignment horizontal="right" indent="4"/>
    </xf>
    <xf numFmtId="44" fontId="15" fillId="8" borderId="0" xfId="0" applyNumberFormat="1" applyFont="1" applyFill="1" applyBorder="1" applyAlignment="1"/>
    <xf numFmtId="166" fontId="15" fillId="8" borderId="0" xfId="0" applyNumberFormat="1" applyFont="1" applyFill="1" applyBorder="1" applyAlignment="1">
      <alignment horizontal="right" indent="4"/>
    </xf>
    <xf numFmtId="44" fontId="15" fillId="8" borderId="0" xfId="0" applyNumberFormat="1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44" fontId="9" fillId="8" borderId="1" xfId="0" applyNumberFormat="1" applyFont="1" applyFill="1" applyBorder="1" applyAlignment="1"/>
    <xf numFmtId="0" fontId="1" fillId="11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right"/>
    </xf>
    <xf numFmtId="3" fontId="1" fillId="11" borderId="10" xfId="0" applyNumberFormat="1" applyFont="1" applyFill="1" applyBorder="1" applyAlignment="1">
      <alignment horizontal="right"/>
    </xf>
    <xf numFmtId="2" fontId="1" fillId="11" borderId="10" xfId="0" applyNumberFormat="1" applyFont="1" applyFill="1" applyBorder="1" applyAlignment="1">
      <alignment horizontal="right"/>
    </xf>
    <xf numFmtId="0" fontId="1" fillId="11" borderId="1" xfId="0" applyFont="1" applyFill="1" applyBorder="1" applyAlignment="1"/>
    <xf numFmtId="2" fontId="1" fillId="11" borderId="1" xfId="0" applyNumberFormat="1" applyFont="1" applyFill="1" applyBorder="1" applyAlignment="1"/>
    <xf numFmtId="0" fontId="1" fillId="11" borderId="5" xfId="0" applyFont="1" applyFill="1" applyBorder="1" applyAlignment="1"/>
    <xf numFmtId="0" fontId="1" fillId="11" borderId="3" xfId="0" applyFont="1" applyFill="1" applyBorder="1" applyAlignment="1">
      <alignment horizontal="right"/>
    </xf>
    <xf numFmtId="0" fontId="1" fillId="11" borderId="3" xfId="0" applyFont="1" applyFill="1" applyBorder="1" applyAlignment="1">
      <alignment horizontal="center"/>
    </xf>
    <xf numFmtId="2" fontId="1" fillId="11" borderId="3" xfId="0" applyNumberFormat="1" applyFont="1" applyFill="1" applyBorder="1" applyAlignment="1">
      <alignment horizontal="right"/>
    </xf>
    <xf numFmtId="0" fontId="1" fillId="11" borderId="5" xfId="0" applyFont="1" applyFill="1" applyBorder="1" applyAlignment="1">
      <alignment horizontal="right"/>
    </xf>
    <xf numFmtId="0" fontId="1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3" fillId="10" borderId="1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7" borderId="0" xfId="0" applyFill="1"/>
    <xf numFmtId="0" fontId="1" fillId="0" borderId="0" xfId="0" applyFont="1" applyBorder="1" applyProtection="1">
      <protection locked="0"/>
    </xf>
    <xf numFmtId="0" fontId="23" fillId="7" borderId="0" xfId="0" applyFont="1" applyFill="1" applyBorder="1" applyAlignment="1">
      <alignment vertical="center"/>
    </xf>
    <xf numFmtId="0" fontId="24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Alignment="1" applyProtection="1">
      <alignment horizontal="center"/>
    </xf>
    <xf numFmtId="2" fontId="24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</xf>
    <xf numFmtId="164" fontId="23" fillId="0" borderId="0" xfId="0" applyNumberFormat="1" applyFont="1" applyAlignment="1" applyProtection="1">
      <alignment horizontal="center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6" fontId="17" fillId="8" borderId="0" xfId="0" applyNumberFormat="1" applyFont="1" applyFill="1" applyBorder="1" applyAlignment="1">
      <alignment horizontal="right" indent="4"/>
    </xf>
    <xf numFmtId="166" fontId="26" fillId="8" borderId="0" xfId="0" applyNumberFormat="1" applyFont="1" applyFill="1" applyBorder="1" applyAlignment="1">
      <alignment horizontal="right" indent="4"/>
    </xf>
    <xf numFmtId="0" fontId="27" fillId="8" borderId="0" xfId="0" applyFont="1" applyFill="1" applyBorder="1" applyAlignment="1" applyProtection="1">
      <alignment horizontal="center"/>
      <protection locked="0"/>
    </xf>
    <xf numFmtId="164" fontId="27" fillId="8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166" fontId="9" fillId="8" borderId="0" xfId="1" applyNumberFormat="1" applyFont="1" applyFill="1" applyAlignment="1">
      <alignment horizontal="right" indent="4"/>
    </xf>
    <xf numFmtId="166" fontId="17" fillId="8" borderId="0" xfId="1" applyNumberFormat="1" applyFont="1" applyFill="1" applyAlignment="1">
      <alignment horizontal="right" indent="4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/>
    <xf numFmtId="0" fontId="29" fillId="8" borderId="0" xfId="0" applyFont="1" applyFill="1" applyBorder="1" applyAlignment="1" applyProtection="1">
      <alignment horizontal="center"/>
      <protection locked="0"/>
    </xf>
    <xf numFmtId="164" fontId="29" fillId="8" borderId="0" xfId="0" applyNumberFormat="1" applyFont="1" applyFill="1" applyBorder="1" applyAlignment="1" applyProtection="1">
      <alignment horizontal="center"/>
      <protection locked="0"/>
    </xf>
    <xf numFmtId="0" fontId="9" fillId="8" borderId="0" xfId="0" applyFont="1" applyFill="1"/>
    <xf numFmtId="44" fontId="17" fillId="8" borderId="0" xfId="0" applyNumberFormat="1" applyFont="1" applyFill="1" applyBorder="1" applyAlignment="1"/>
    <xf numFmtId="44" fontId="9" fillId="0" borderId="0" xfId="0" applyNumberFormat="1" applyFont="1" applyFill="1" applyBorder="1" applyAlignment="1">
      <alignment horizontal="left" wrapText="1" indent="1"/>
    </xf>
    <xf numFmtId="166" fontId="9" fillId="0" borderId="0" xfId="1" applyNumberFormat="1" applyFont="1" applyFill="1" applyAlignment="1">
      <alignment horizontal="right" indent="4"/>
    </xf>
    <xf numFmtId="166" fontId="9" fillId="0" borderId="0" xfId="0" applyNumberFormat="1" applyFont="1" applyFill="1" applyBorder="1" applyAlignment="1">
      <alignment horizontal="right" indent="4"/>
    </xf>
    <xf numFmtId="166" fontId="9" fillId="0" borderId="0" xfId="0" applyNumberFormat="1" applyFont="1" applyFill="1" applyAlignment="1">
      <alignment horizontal="right" indent="4"/>
    </xf>
    <xf numFmtId="166" fontId="15" fillId="8" borderId="0" xfId="0" applyNumberFormat="1" applyFont="1" applyFill="1" applyBorder="1" applyAlignment="1">
      <alignment horizontal="center"/>
    </xf>
    <xf numFmtId="0" fontId="9" fillId="8" borderId="0" xfId="0" applyFont="1" applyFill="1" applyBorder="1" applyAlignment="1" applyProtection="1">
      <alignment horizontal="center"/>
      <protection locked="0"/>
    </xf>
    <xf numFmtId="164" fontId="9" fillId="8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4" fontId="9" fillId="0" borderId="0" xfId="0" applyNumberFormat="1" applyFont="1" applyFill="1" applyBorder="1" applyAlignment="1">
      <alignment horizontal="left" indent="1"/>
    </xf>
    <xf numFmtId="0" fontId="25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4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164" fontId="9" fillId="0" borderId="0" xfId="1" applyNumberFormat="1" applyFont="1" applyFill="1" applyAlignment="1">
      <alignment horizontal="right" indent="4"/>
    </xf>
    <xf numFmtId="0" fontId="0" fillId="7" borderId="0" xfId="0" applyFill="1"/>
    <xf numFmtId="164" fontId="0" fillId="2" borderId="0" xfId="0" applyNumberFormat="1" applyFill="1"/>
    <xf numFmtId="165" fontId="24" fillId="0" borderId="0" xfId="0" applyNumberFormat="1" applyFont="1" applyAlignment="1" applyProtection="1">
      <alignment horizontal="center"/>
    </xf>
    <xf numFmtId="0" fontId="1" fillId="3" borderId="0" xfId="0" applyFont="1" applyFill="1" applyBorder="1"/>
    <xf numFmtId="0" fontId="0" fillId="7" borderId="0" xfId="0" applyFill="1"/>
    <xf numFmtId="0" fontId="2" fillId="10" borderId="3" xfId="0" applyFont="1" applyFill="1" applyBorder="1" applyAlignment="1">
      <alignment vertical="center" wrapText="1"/>
    </xf>
    <xf numFmtId="44" fontId="9" fillId="7" borderId="0" xfId="0" applyNumberFormat="1" applyFont="1" applyFill="1" applyBorder="1" applyAlignment="1"/>
    <xf numFmtId="44" fontId="9" fillId="7" borderId="2" xfId="0" applyNumberFormat="1" applyFont="1" applyFill="1" applyBorder="1" applyAlignment="1">
      <alignment horizontal="left"/>
    </xf>
    <xf numFmtId="44" fontId="15" fillId="7" borderId="2" xfId="0" applyNumberFormat="1" applyFont="1" applyFill="1" applyBorder="1" applyAlignment="1">
      <alignment horizontal="left"/>
    </xf>
    <xf numFmtId="44" fontId="15" fillId="7" borderId="0" xfId="0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2" fillId="2" borderId="0" xfId="2" applyFill="1" applyAlignment="1" applyProtection="1">
      <alignment horizontal="center"/>
    </xf>
    <xf numFmtId="0" fontId="1" fillId="7" borderId="0" xfId="0" applyFont="1" applyFill="1" applyAlignment="1">
      <alignment horizontal="center"/>
    </xf>
    <xf numFmtId="0" fontId="32" fillId="7" borderId="0" xfId="2" applyFill="1" applyAlignment="1" applyProtection="1">
      <alignment horizontal="center"/>
    </xf>
    <xf numFmtId="0" fontId="33" fillId="2" borderId="0" xfId="0" applyFont="1" applyFill="1" applyAlignment="1">
      <alignment horizont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wrapText="1"/>
    </xf>
    <xf numFmtId="0" fontId="0" fillId="0" borderId="0" xfId="0" applyAlignment="1" applyProtection="1">
      <alignment horizontal="left" vertical="top" wrapText="1"/>
      <protection locked="0"/>
    </xf>
    <xf numFmtId="0" fontId="2" fillId="7" borderId="0" xfId="0" applyFont="1" applyFill="1" applyAlignment="1" applyProtection="1">
      <alignment horizontal="left" wrapText="1"/>
      <protection locked="0"/>
    </xf>
    <xf numFmtId="0" fontId="4" fillId="7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/>
    <xf numFmtId="0" fontId="2" fillId="7" borderId="0" xfId="0" applyFont="1" applyFill="1" applyBorder="1" applyAlignment="1" applyProtection="1">
      <alignment horizontal="left" wrapText="1"/>
      <protection locked="0"/>
    </xf>
    <xf numFmtId="0" fontId="4" fillId="7" borderId="0" xfId="0" applyFont="1" applyFill="1" applyBorder="1" applyAlignment="1" applyProtection="1">
      <alignment horizontal="left" wrapText="1"/>
      <protection locked="0"/>
    </xf>
    <xf numFmtId="0" fontId="14" fillId="9" borderId="9" xfId="0" applyFont="1" applyFill="1" applyBorder="1" applyAlignment="1"/>
    <xf numFmtId="0" fontId="14" fillId="9" borderId="3" xfId="0" applyFont="1" applyFill="1" applyBorder="1" applyAlignment="1"/>
    <xf numFmtId="0" fontId="14" fillId="9" borderId="5" xfId="0" applyFont="1" applyFill="1" applyBorder="1" applyAlignment="1"/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" fillId="3" borderId="11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7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304800</xdr:colOff>
      <xdr:row>10</xdr:row>
      <xdr:rowOff>38100</xdr:rowOff>
    </xdr:to>
    <xdr:pic>
      <xdr:nvPicPr>
        <xdr:cNvPr id="3" name="Picture 4" descr="01UICALS-metalli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791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561976</xdr:colOff>
      <xdr:row>11</xdr:row>
      <xdr:rowOff>95249</xdr:rowOff>
    </xdr:from>
    <xdr:to>
      <xdr:col>10</xdr:col>
      <xdr:colOff>523876</xdr:colOff>
      <xdr:row>39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1876424"/>
          <a:ext cx="6057900" cy="454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ocuments/My%20Documents/Budgets/CFF%20Simulation%20Rotations/Dryland/CFF%20Pullman%20Budgets%20WW-SW-SB%20June%2019,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rices"/>
      <sheetName val="Summary"/>
      <sheetName val="CT Soft White Winter Wheat"/>
      <sheetName val="CT SWWW Calendar"/>
      <sheetName val="CT Soft White Spring Wheat"/>
      <sheetName val="CT SWSW Calendar"/>
      <sheetName val="CT Spring Barley"/>
      <sheetName val="CT SB Calendar"/>
      <sheetName val="RT Soft White Winter Wheat"/>
      <sheetName val="RT SWWW Calendar"/>
      <sheetName val="RT Soft White Spring Wheat"/>
      <sheetName val="RT SWSW Calendar"/>
      <sheetName val="RT Spring Barley"/>
      <sheetName val="RT SB Calendar"/>
      <sheetName val="NT Soft White Winter Wheat"/>
      <sheetName val="NT SWWW Calendar"/>
      <sheetName val="NT Soft White Spring Wheat"/>
      <sheetName val="NT SWSW Calendar"/>
      <sheetName val="NT Spring Barley"/>
      <sheetName val="NT SB Calendar"/>
    </sheetNames>
    <sheetDataSet>
      <sheetData sheetId="0">
        <row r="5">
          <cell r="D5">
            <v>4</v>
          </cell>
        </row>
        <row r="9">
          <cell r="D9">
            <v>20</v>
          </cell>
        </row>
        <row r="21">
          <cell r="D21">
            <v>0.85</v>
          </cell>
        </row>
        <row r="22">
          <cell r="D22">
            <v>1.38</v>
          </cell>
        </row>
        <row r="23">
          <cell r="D23">
            <v>0.4</v>
          </cell>
        </row>
        <row r="37">
          <cell r="D37">
            <v>1.75</v>
          </cell>
        </row>
        <row r="41">
          <cell r="D4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llerjen@cableone.net" TargetMode="External"/><Relationship Id="rId2" Type="http://schemas.openxmlformats.org/officeDocument/2006/relationships/hyperlink" Target="mailto:norao@uidaho.edu" TargetMode="External"/><Relationship Id="rId1" Type="http://schemas.openxmlformats.org/officeDocument/2006/relationships/hyperlink" Target="mailto:kpainter@uidaho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U61"/>
  <sheetViews>
    <sheetView tabSelected="1" topLeftCell="A7" workbookViewId="0">
      <selection activeCell="B47" sqref="B47"/>
    </sheetView>
  </sheetViews>
  <sheetFormatPr defaultRowHeight="12.75" x14ac:dyDescent="0.2"/>
  <cols>
    <col min="1" max="16384" width="9.140625" style="248"/>
  </cols>
  <sheetData>
    <row r="42" spans="1:21" customFormat="1" ht="16.5" x14ac:dyDescent="0.25">
      <c r="A42" s="8"/>
      <c r="B42" s="8"/>
      <c r="C42" s="8"/>
      <c r="D42" s="8"/>
      <c r="E42" s="8"/>
      <c r="F42" s="259" t="s">
        <v>280</v>
      </c>
      <c r="G42" s="8"/>
      <c r="H42" s="8"/>
      <c r="I42" s="8"/>
      <c r="J42" s="8"/>
      <c r="K42" s="8"/>
      <c r="L42" s="248"/>
      <c r="M42" s="248"/>
      <c r="N42" s="248"/>
      <c r="O42" s="248"/>
      <c r="P42" s="248"/>
      <c r="Q42" s="248"/>
      <c r="R42" s="248"/>
      <c r="S42" s="248"/>
      <c r="T42" s="248"/>
      <c r="U42" s="248"/>
    </row>
    <row r="43" spans="1:21" customFormat="1" x14ac:dyDescent="0.2">
      <c r="A43" s="8"/>
      <c r="B43" s="8"/>
      <c r="C43" s="8"/>
      <c r="D43" s="8"/>
      <c r="E43" s="8"/>
      <c r="F43" s="254"/>
      <c r="G43" s="8"/>
      <c r="H43" s="8"/>
      <c r="I43" s="8"/>
      <c r="J43" s="8"/>
      <c r="K43" s="8"/>
      <c r="L43" s="248"/>
      <c r="M43" s="248"/>
      <c r="N43" s="248"/>
      <c r="O43" s="248"/>
      <c r="P43" s="248"/>
      <c r="Q43" s="248"/>
      <c r="R43" s="248"/>
      <c r="S43" s="248"/>
      <c r="T43" s="248"/>
      <c r="U43" s="248"/>
    </row>
    <row r="44" spans="1:21" customFormat="1" x14ac:dyDescent="0.2">
      <c r="A44" s="1"/>
      <c r="B44" s="1"/>
      <c r="C44" s="1"/>
      <c r="D44" s="1"/>
      <c r="E44" s="1"/>
      <c r="F44" s="255" t="s">
        <v>277</v>
      </c>
      <c r="G44" s="1"/>
      <c r="H44" s="1"/>
      <c r="I44" s="1"/>
      <c r="J44" s="1"/>
      <c r="K44" s="1"/>
      <c r="L44" s="248"/>
      <c r="M44" s="248"/>
      <c r="N44" s="248"/>
      <c r="O44" s="248"/>
      <c r="P44" s="248"/>
      <c r="Q44" s="248"/>
      <c r="R44" s="248"/>
      <c r="S44" s="248"/>
      <c r="T44" s="248"/>
      <c r="U44" s="248"/>
    </row>
    <row r="45" spans="1:21" customFormat="1" x14ac:dyDescent="0.2">
      <c r="A45" s="1"/>
      <c r="B45" s="1"/>
      <c r="C45" s="1"/>
      <c r="D45" s="1"/>
      <c r="E45" s="1"/>
      <c r="F45" s="255" t="s">
        <v>265</v>
      </c>
      <c r="G45" s="1"/>
      <c r="H45" s="1"/>
      <c r="I45" s="1"/>
      <c r="J45" s="1"/>
      <c r="K45" s="1"/>
      <c r="L45" s="248"/>
      <c r="M45" s="248"/>
      <c r="N45" s="248"/>
      <c r="O45" s="248"/>
      <c r="P45" s="248"/>
      <c r="Q45" s="248"/>
      <c r="R45" s="248"/>
      <c r="S45" s="248"/>
      <c r="T45" s="248"/>
      <c r="U45" s="248"/>
    </row>
    <row r="46" spans="1:21" customFormat="1" x14ac:dyDescent="0.2">
      <c r="A46" s="1"/>
      <c r="B46" s="1"/>
      <c r="C46" s="1"/>
      <c r="D46" s="1"/>
      <c r="E46" s="1"/>
      <c r="F46" s="255" t="s">
        <v>266</v>
      </c>
      <c r="G46" s="1"/>
      <c r="H46" s="1"/>
      <c r="I46" s="1"/>
      <c r="J46" s="1"/>
      <c r="K46" s="1"/>
      <c r="L46" s="248"/>
      <c r="M46" s="248"/>
      <c r="N46" s="248"/>
      <c r="O46" s="248"/>
      <c r="P46" s="248"/>
      <c r="Q46" s="248"/>
      <c r="R46" s="248"/>
      <c r="S46" s="248"/>
      <c r="T46" s="248"/>
      <c r="U46" s="248"/>
    </row>
    <row r="47" spans="1:21" customFormat="1" x14ac:dyDescent="0.2">
      <c r="A47" s="1"/>
      <c r="B47" s="1"/>
      <c r="C47" s="1"/>
      <c r="D47" s="1"/>
      <c r="E47" s="1"/>
      <c r="F47" s="255" t="s">
        <v>267</v>
      </c>
      <c r="G47" s="1"/>
      <c r="H47" s="1"/>
      <c r="I47" s="1"/>
      <c r="J47" s="1"/>
      <c r="K47" s="1"/>
      <c r="L47" s="248"/>
      <c r="M47" s="248"/>
      <c r="N47" s="248"/>
      <c r="O47" s="248"/>
      <c r="P47" s="248"/>
      <c r="Q47" s="248"/>
      <c r="R47" s="248"/>
      <c r="S47" s="248"/>
      <c r="T47" s="248"/>
      <c r="U47" s="248"/>
    </row>
    <row r="48" spans="1:21" customFormat="1" x14ac:dyDescent="0.2">
      <c r="A48" s="1"/>
      <c r="B48" s="1"/>
      <c r="C48" s="1"/>
      <c r="D48" s="1"/>
      <c r="E48" s="1"/>
      <c r="F48" s="255" t="s">
        <v>268</v>
      </c>
      <c r="G48" s="1"/>
      <c r="H48" s="1"/>
      <c r="I48" s="1"/>
      <c r="J48" s="1"/>
      <c r="K48" s="1"/>
      <c r="L48" s="248"/>
      <c r="M48" s="248"/>
      <c r="N48" s="248"/>
      <c r="O48" s="248"/>
      <c r="P48" s="248"/>
      <c r="Q48" s="248"/>
      <c r="R48" s="248"/>
      <c r="S48" s="248"/>
      <c r="T48" s="248"/>
      <c r="U48" s="248"/>
    </row>
    <row r="49" spans="1:21" customFormat="1" x14ac:dyDescent="0.2">
      <c r="A49" s="1"/>
      <c r="B49" s="1"/>
      <c r="C49" s="1"/>
      <c r="D49" s="1"/>
      <c r="E49" s="1"/>
      <c r="F49" s="255" t="s">
        <v>269</v>
      </c>
      <c r="G49" s="1"/>
      <c r="H49" s="1"/>
      <c r="I49" s="1"/>
      <c r="J49" s="1"/>
      <c r="K49" s="1"/>
      <c r="L49" s="248"/>
      <c r="M49" s="248"/>
      <c r="N49" s="248"/>
      <c r="O49" s="248"/>
      <c r="P49" s="248"/>
      <c r="Q49" s="248"/>
      <c r="R49" s="248"/>
      <c r="S49" s="248"/>
      <c r="T49" s="248"/>
      <c r="U49" s="248"/>
    </row>
    <row r="50" spans="1:21" customFormat="1" x14ac:dyDescent="0.2">
      <c r="A50" s="1"/>
      <c r="B50" s="1"/>
      <c r="C50" s="1"/>
      <c r="D50" s="1"/>
      <c r="E50" s="1"/>
      <c r="F50" s="256" t="s">
        <v>270</v>
      </c>
      <c r="G50" s="1"/>
      <c r="H50" s="1"/>
      <c r="I50" s="1"/>
      <c r="J50" s="1"/>
      <c r="K50" s="1"/>
      <c r="L50" s="248"/>
      <c r="M50" s="248"/>
      <c r="N50" s="248"/>
      <c r="O50" s="248"/>
      <c r="P50" s="248"/>
      <c r="Q50" s="248"/>
      <c r="R50" s="248"/>
      <c r="S50" s="248"/>
      <c r="T50" s="248"/>
      <c r="U50" s="248"/>
    </row>
    <row r="51" spans="1:21" customFormat="1" x14ac:dyDescent="0.2">
      <c r="A51" s="1"/>
      <c r="B51" s="1"/>
      <c r="C51" s="1"/>
      <c r="D51" s="1"/>
      <c r="E51" s="1"/>
      <c r="F51" s="256"/>
      <c r="G51" s="1"/>
      <c r="H51" s="1"/>
      <c r="I51" s="1"/>
      <c r="J51" s="1"/>
      <c r="K51" s="1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1" x14ac:dyDescent="0.2">
      <c r="F52" s="257" t="s">
        <v>271</v>
      </c>
    </row>
    <row r="53" spans="1:21" x14ac:dyDescent="0.2">
      <c r="F53" s="257" t="s">
        <v>272</v>
      </c>
    </row>
    <row r="54" spans="1:21" x14ac:dyDescent="0.2">
      <c r="F54" s="257" t="s">
        <v>273</v>
      </c>
    </row>
    <row r="55" spans="1:21" x14ac:dyDescent="0.2">
      <c r="F55" s="258" t="s">
        <v>279</v>
      </c>
    </row>
    <row r="57" spans="1:21" x14ac:dyDescent="0.2">
      <c r="F57" s="257" t="s">
        <v>274</v>
      </c>
    </row>
    <row r="58" spans="1:21" x14ac:dyDescent="0.2">
      <c r="F58" s="257" t="s">
        <v>275</v>
      </c>
    </row>
    <row r="59" spans="1:21" x14ac:dyDescent="0.2">
      <c r="F59" s="257" t="s">
        <v>276</v>
      </c>
    </row>
    <row r="60" spans="1:21" x14ac:dyDescent="0.2">
      <c r="F60" s="257" t="s">
        <v>266</v>
      </c>
    </row>
    <row r="61" spans="1:21" x14ac:dyDescent="0.2">
      <c r="F61" s="258" t="s">
        <v>278</v>
      </c>
    </row>
  </sheetData>
  <hyperlinks>
    <hyperlink ref="F50" r:id="rId1"/>
    <hyperlink ref="F61" r:id="rId2"/>
    <hyperlink ref="F5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43"/>
  <sheetViews>
    <sheetView zoomScaleNormal="100" workbookViewId="0"/>
  </sheetViews>
  <sheetFormatPr defaultColWidth="15.5703125" defaultRowHeight="12.75" x14ac:dyDescent="0.2"/>
  <cols>
    <col min="1" max="1" width="4.7109375" style="83" customWidth="1"/>
    <col min="2" max="2" width="49.7109375" style="83" customWidth="1"/>
    <col min="3" max="3" width="4.7109375" style="218" customWidth="1"/>
    <col min="4" max="4" width="17.42578125" style="83" customWidth="1"/>
    <col min="5" max="5" width="4.7109375" style="218" customWidth="1"/>
    <col min="6" max="6" width="17.28515625" style="83" customWidth="1"/>
    <col min="7" max="7" width="4.7109375" style="218" customWidth="1"/>
    <col min="8" max="8" width="17.28515625" style="248" customWidth="1"/>
    <col min="9" max="9" width="4.7109375" style="248" customWidth="1"/>
    <col min="10" max="16384" width="15.5703125" style="83"/>
  </cols>
  <sheetData>
    <row r="2" spans="2:9" ht="42.75" customHeight="1" x14ac:dyDescent="0.2">
      <c r="B2" s="260" t="s">
        <v>251</v>
      </c>
      <c r="C2" s="260"/>
      <c r="D2" s="260"/>
      <c r="E2" s="260"/>
      <c r="F2" s="260"/>
      <c r="G2" s="260"/>
      <c r="H2" s="260"/>
      <c r="I2" s="260"/>
    </row>
    <row r="3" spans="2:9" ht="84" customHeight="1" x14ac:dyDescent="0.25">
      <c r="B3" s="172"/>
      <c r="C3" s="172"/>
      <c r="D3" s="249" t="s">
        <v>253</v>
      </c>
      <c r="E3" s="172"/>
      <c r="F3" s="249" t="s">
        <v>254</v>
      </c>
      <c r="G3" s="172"/>
      <c r="H3" s="249" t="s">
        <v>255</v>
      </c>
      <c r="I3" s="172"/>
    </row>
    <row r="4" spans="2:9" s="170" customFormat="1" ht="15.75" x14ac:dyDescent="0.25">
      <c r="B4" s="180"/>
      <c r="C4" s="180"/>
      <c r="D4" s="180"/>
      <c r="E4" s="180"/>
      <c r="F4" s="180"/>
      <c r="G4" s="180"/>
      <c r="H4" s="180"/>
      <c r="I4" s="180"/>
    </row>
    <row r="5" spans="2:9" s="218" customFormat="1" ht="15" x14ac:dyDescent="0.25">
      <c r="B5" s="177" t="s">
        <v>215</v>
      </c>
      <c r="C5" s="174"/>
      <c r="D5" s="233">
        <f>$D$7*$D$6</f>
        <v>2940</v>
      </c>
      <c r="E5" s="233"/>
      <c r="F5" s="233">
        <f>F7*F6</f>
        <v>2940</v>
      </c>
      <c r="G5" s="174"/>
      <c r="H5" s="233">
        <f>H7*H6</f>
        <v>2752.5</v>
      </c>
      <c r="I5" s="233"/>
    </row>
    <row r="6" spans="2:9" ht="15.75" x14ac:dyDescent="0.25">
      <c r="B6" s="237" t="s">
        <v>195</v>
      </c>
      <c r="C6" s="225"/>
      <c r="D6" s="236">
        <f>'T3 Budget, Small Farm'!D13</f>
        <v>375</v>
      </c>
      <c r="E6" s="234"/>
      <c r="F6" s="236">
        <f>'T7 Budget, Large Farm '!$D$13</f>
        <v>375</v>
      </c>
      <c r="G6" s="216"/>
      <c r="H6" s="236">
        <f>'T7 Budget, Large Farm '!$D$13</f>
        <v>375</v>
      </c>
      <c r="I6" s="234"/>
    </row>
    <row r="7" spans="2:9" ht="15.75" x14ac:dyDescent="0.25">
      <c r="B7" s="237" t="s">
        <v>196</v>
      </c>
      <c r="C7" s="226"/>
      <c r="D7" s="243">
        <f>'T3 Budget, Small Farm'!H13</f>
        <v>7.84</v>
      </c>
      <c r="E7" s="235"/>
      <c r="F7" s="243">
        <v>7.84</v>
      </c>
      <c r="G7" s="217"/>
      <c r="H7" s="243">
        <v>7.34</v>
      </c>
      <c r="I7" s="235"/>
    </row>
    <row r="8" spans="2:9" s="197" customFormat="1" ht="15" x14ac:dyDescent="0.25">
      <c r="B8" s="177"/>
      <c r="C8" s="174"/>
      <c r="D8" s="174"/>
      <c r="E8" s="174"/>
      <c r="F8" s="174"/>
      <c r="G8" s="174"/>
      <c r="H8" s="174"/>
      <c r="I8" s="174"/>
    </row>
    <row r="9" spans="2:9" ht="15" x14ac:dyDescent="0.25">
      <c r="B9" s="177" t="s">
        <v>220</v>
      </c>
      <c r="C9" s="227"/>
      <c r="D9" s="227"/>
      <c r="E9" s="227"/>
      <c r="F9" s="227"/>
      <c r="G9" s="171"/>
      <c r="H9" s="227"/>
      <c r="I9" s="227"/>
    </row>
    <row r="10" spans="2:9" ht="14.25" x14ac:dyDescent="0.2">
      <c r="B10" s="229" t="s">
        <v>221</v>
      </c>
      <c r="C10" s="219"/>
      <c r="D10" s="230">
        <f>'T3 Budget, Small Farm'!J41</f>
        <v>61.029234999999993</v>
      </c>
      <c r="E10" s="219"/>
      <c r="F10" s="230">
        <f>'T7 Budget, Large Farm '!$J$39</f>
        <v>52.18569475000001</v>
      </c>
      <c r="G10" s="219"/>
      <c r="H10" s="230">
        <f>'T7 Budget, Large Farm '!$J$39</f>
        <v>52.18569475000001</v>
      </c>
      <c r="I10" s="219"/>
    </row>
    <row r="11" spans="2:9" s="218" customFormat="1" ht="14.25" x14ac:dyDescent="0.2">
      <c r="B11" s="229" t="s">
        <v>71</v>
      </c>
      <c r="C11" s="219"/>
      <c r="D11" s="230">
        <f>'T3 Budget, Small Farm'!J42</f>
        <v>8.1281999999999996</v>
      </c>
      <c r="E11" s="219"/>
      <c r="F11" s="230">
        <f>'T7 Budget, Large Farm '!$J$40</f>
        <v>6.9503699999999995</v>
      </c>
      <c r="G11" s="219"/>
      <c r="H11" s="230">
        <f>'T7 Budget, Large Farm '!$J$40</f>
        <v>6.9503699999999995</v>
      </c>
      <c r="I11" s="219"/>
    </row>
    <row r="12" spans="2:9" ht="15.75" customHeight="1" x14ac:dyDescent="0.2">
      <c r="B12" s="229" t="s">
        <v>222</v>
      </c>
      <c r="C12" s="219"/>
      <c r="D12" s="230">
        <f>'T3 Budget, Small Farm'!J49</f>
        <v>101.67907692307692</v>
      </c>
      <c r="E12" s="219"/>
      <c r="F12" s="230">
        <f>'T7 Budget, Large Farm '!$J$46</f>
        <v>45.911153846153852</v>
      </c>
      <c r="G12" s="219"/>
      <c r="H12" s="230">
        <f>'T7 Budget, Large Farm '!$J$46</f>
        <v>45.911153846153852</v>
      </c>
      <c r="I12" s="219"/>
    </row>
    <row r="13" spans="2:9" ht="14.25" x14ac:dyDescent="0.2">
      <c r="B13" s="229" t="s">
        <v>12</v>
      </c>
      <c r="C13" s="219"/>
      <c r="D13" s="230">
        <f>'T3 Budget, Small Farm'!J43</f>
        <v>89.95</v>
      </c>
      <c r="E13" s="219"/>
      <c r="F13" s="230">
        <f>'T7 Budget, Large Farm '!$J$41</f>
        <v>43.889999999999993</v>
      </c>
      <c r="G13" s="219"/>
      <c r="H13" s="230">
        <f>'T7 Budget, Large Farm '!$J$41</f>
        <v>43.889999999999993</v>
      </c>
      <c r="I13" s="219"/>
    </row>
    <row r="14" spans="2:9" ht="14.25" x14ac:dyDescent="0.2">
      <c r="B14" s="228" t="s">
        <v>218</v>
      </c>
      <c r="C14" s="220"/>
      <c r="D14" s="220">
        <f>SUM(D10:D13)</f>
        <v>260.78651192307689</v>
      </c>
      <c r="E14" s="220"/>
      <c r="F14" s="220">
        <f>SUM(F10:F13)</f>
        <v>148.93721859615385</v>
      </c>
      <c r="G14" s="220"/>
      <c r="H14" s="220">
        <f>SUM(H10:H13)</f>
        <v>148.93721859615385</v>
      </c>
      <c r="I14" s="220"/>
    </row>
    <row r="15" spans="2:9" s="197" customFormat="1" ht="14.25" x14ac:dyDescent="0.2">
      <c r="B15" s="173"/>
      <c r="C15" s="175"/>
      <c r="D15" s="175"/>
      <c r="E15" s="175"/>
      <c r="F15" s="175"/>
      <c r="G15" s="175"/>
      <c r="H15" s="175"/>
      <c r="I15" s="175"/>
    </row>
    <row r="16" spans="2:9" ht="15" x14ac:dyDescent="0.25">
      <c r="B16" s="177" t="s">
        <v>223</v>
      </c>
      <c r="C16" s="176"/>
      <c r="D16" s="176"/>
      <c r="E16" s="176"/>
      <c r="F16" s="176"/>
      <c r="G16" s="176"/>
      <c r="H16" s="176"/>
      <c r="I16" s="176"/>
    </row>
    <row r="17" spans="2:9" s="170" customFormat="1" ht="14.25" x14ac:dyDescent="0.2">
      <c r="B17" s="229" t="s">
        <v>199</v>
      </c>
      <c r="C17" s="176"/>
      <c r="D17" s="231">
        <f>'T3 Budget, Small Farm'!J17</f>
        <v>382.5</v>
      </c>
      <c r="E17" s="176"/>
      <c r="F17" s="231">
        <f>'T7 Budget, Large Farm '!$J$17</f>
        <v>382.5</v>
      </c>
      <c r="G17" s="176"/>
      <c r="H17" s="231">
        <f>'T7 Budget, Large Farm '!$J$17</f>
        <v>382.5</v>
      </c>
      <c r="I17" s="176"/>
    </row>
    <row r="18" spans="2:9" s="170" customFormat="1" ht="14.25" x14ac:dyDescent="0.2">
      <c r="B18" s="229" t="s">
        <v>200</v>
      </c>
      <c r="C18" s="176"/>
      <c r="D18" s="231">
        <f>'T3 Budget, Small Farm'!J21</f>
        <v>146.75</v>
      </c>
      <c r="E18" s="176"/>
      <c r="F18" s="231">
        <f>'T7 Budget, Large Farm '!$J$21</f>
        <v>138.5</v>
      </c>
      <c r="G18" s="176"/>
      <c r="H18" s="231">
        <f>'T7 Budget, Large Farm '!$J$21</f>
        <v>138.5</v>
      </c>
      <c r="I18" s="176"/>
    </row>
    <row r="19" spans="2:9" s="170" customFormat="1" ht="14.25" x14ac:dyDescent="0.2">
      <c r="B19" s="229" t="s">
        <v>201</v>
      </c>
      <c r="C19" s="176"/>
      <c r="D19" s="231">
        <f>'T3 Budget, Small Farm'!J26</f>
        <v>96</v>
      </c>
      <c r="E19" s="176"/>
      <c r="F19" s="231">
        <f>'T7 Budget, Large Farm '!$J$25</f>
        <v>96</v>
      </c>
      <c r="G19" s="176"/>
      <c r="H19" s="231">
        <f>'T7 Budget, Large Farm '!$J$25</f>
        <v>96</v>
      </c>
      <c r="I19" s="176"/>
    </row>
    <row r="20" spans="2:9" s="170" customFormat="1" ht="14.25" x14ac:dyDescent="0.2">
      <c r="B20" s="229" t="s">
        <v>202</v>
      </c>
      <c r="C20" s="176"/>
      <c r="D20" s="231">
        <f>'T3 Budget, Small Farm'!J30</f>
        <v>58</v>
      </c>
      <c r="E20" s="176"/>
      <c r="F20" s="231">
        <f>'T7 Budget, Large Farm '!$J$28</f>
        <v>27.5</v>
      </c>
      <c r="G20" s="176"/>
      <c r="H20" s="231">
        <f>'T7 Budget, Large Farm '!$J$28</f>
        <v>27.5</v>
      </c>
      <c r="I20" s="176"/>
    </row>
    <row r="21" spans="2:9" s="170" customFormat="1" ht="14.25" x14ac:dyDescent="0.2">
      <c r="B21" s="229" t="s">
        <v>203</v>
      </c>
      <c r="C21" s="176"/>
      <c r="D21" s="231">
        <f>'T3 Budget, Small Farm'!J34</f>
        <v>363</v>
      </c>
      <c r="E21" s="176"/>
      <c r="F21" s="231">
        <f>'T7 Budget, Large Farm '!$J$32</f>
        <v>363</v>
      </c>
      <c r="G21" s="176"/>
      <c r="H21" s="231">
        <f>'T7 Budget, Large Farm '!$J$32</f>
        <v>363</v>
      </c>
      <c r="I21" s="176"/>
    </row>
    <row r="22" spans="2:9" s="244" customFormat="1" ht="14.25" x14ac:dyDescent="0.2">
      <c r="B22" s="229" t="s">
        <v>236</v>
      </c>
      <c r="C22" s="176"/>
      <c r="D22" s="231">
        <f>D23-(SUM(D17:D21)+D14)</f>
        <v>284.41881979326945</v>
      </c>
      <c r="E22" s="176"/>
      <c r="F22" s="231">
        <f>$F$23-(SUM($F$17:$F$21)+$F$14)</f>
        <v>277.76638162716404</v>
      </c>
      <c r="G22" s="176"/>
      <c r="H22" s="231">
        <f>$F$23-(SUM($F$17:$F$21)+$F$14)</f>
        <v>277.76638162716404</v>
      </c>
      <c r="I22" s="176"/>
    </row>
    <row r="23" spans="2:9" s="170" customFormat="1" ht="14.25" x14ac:dyDescent="0.2">
      <c r="B23" s="228" t="s">
        <v>198</v>
      </c>
      <c r="C23" s="214"/>
      <c r="D23" s="214">
        <f>'T3 Budget, Small Farm'!$J$59</f>
        <v>1591.4553317163463</v>
      </c>
      <c r="E23" s="214"/>
      <c r="F23" s="214">
        <f>'T7 Budget, Large Farm '!$J$56</f>
        <v>1434.2036002233178</v>
      </c>
      <c r="G23" s="214"/>
      <c r="H23" s="214">
        <f>'T7 Budget, Large Farm '!$J$56</f>
        <v>1434.2036002233178</v>
      </c>
      <c r="I23" s="214"/>
    </row>
    <row r="24" spans="2:9" s="244" customFormat="1" ht="14.25" x14ac:dyDescent="0.2">
      <c r="B24" s="228"/>
      <c r="C24" s="214"/>
      <c r="D24" s="214"/>
      <c r="E24" s="214"/>
      <c r="F24" s="214"/>
      <c r="G24" s="214"/>
      <c r="H24" s="214"/>
      <c r="I24" s="214"/>
    </row>
    <row r="25" spans="2:9" s="86" customFormat="1" ht="15" x14ac:dyDescent="0.25">
      <c r="B25" s="177" t="s">
        <v>235</v>
      </c>
      <c r="C25" s="178"/>
      <c r="D25" s="178">
        <f>D5-D23</f>
        <v>1348.5446682836537</v>
      </c>
      <c r="E25" s="178"/>
      <c r="F25" s="178">
        <f>F5-F23</f>
        <v>1505.7963997766822</v>
      </c>
      <c r="G25" s="215"/>
      <c r="H25" s="178">
        <f>H5-H23</f>
        <v>1318.2963997766822</v>
      </c>
      <c r="I25" s="178"/>
    </row>
    <row r="26" spans="2:9" s="197" customFormat="1" ht="15" x14ac:dyDescent="0.25">
      <c r="B26" s="177"/>
      <c r="C26" s="178"/>
      <c r="D26" s="178"/>
      <c r="E26" s="178"/>
      <c r="F26" s="178"/>
      <c r="G26" s="178"/>
      <c r="H26" s="178"/>
      <c r="I26" s="178"/>
    </row>
    <row r="27" spans="2:9" ht="15" x14ac:dyDescent="0.25">
      <c r="B27" s="177" t="s">
        <v>224</v>
      </c>
      <c r="C27" s="176"/>
      <c r="D27" s="176"/>
      <c r="E27" s="176"/>
      <c r="F27" s="176"/>
      <c r="G27" s="176"/>
      <c r="H27" s="176"/>
      <c r="I27" s="176"/>
    </row>
    <row r="28" spans="2:9" s="170" customFormat="1" ht="30.75" customHeight="1" x14ac:dyDescent="0.2">
      <c r="B28" s="229" t="s">
        <v>219</v>
      </c>
      <c r="C28" s="175"/>
      <c r="D28" s="232">
        <f>'T4-T5 Mach. Costs, Small Farm'!F53</f>
        <v>72.974000000000004</v>
      </c>
      <c r="E28" s="175"/>
      <c r="F28" s="232">
        <f>'T8-T9 Mach. Costs, Large Farm'!$F$47</f>
        <v>107.62400000000001</v>
      </c>
      <c r="G28" s="175"/>
      <c r="H28" s="232">
        <f>'T8-T9 Mach. Costs, Large Farm'!$F$47</f>
        <v>107.62400000000001</v>
      </c>
      <c r="I28" s="175"/>
    </row>
    <row r="29" spans="2:9" s="170" customFormat="1" ht="16.5" customHeight="1" x14ac:dyDescent="0.2">
      <c r="B29" s="229" t="s">
        <v>234</v>
      </c>
      <c r="C29" s="176"/>
      <c r="D29" s="231">
        <v>250</v>
      </c>
      <c r="E29" s="176"/>
      <c r="F29" s="231">
        <v>250</v>
      </c>
      <c r="G29" s="176"/>
      <c r="H29" s="231">
        <v>250</v>
      </c>
      <c r="I29" s="176"/>
    </row>
    <row r="30" spans="2:9" s="170" customFormat="1" ht="16.5" customHeight="1" x14ac:dyDescent="0.2">
      <c r="B30" s="228" t="s">
        <v>197</v>
      </c>
      <c r="C30" s="214"/>
      <c r="D30" s="214">
        <f>'T3 Budget, Small Farm'!$J$75</f>
        <v>322.97399999999999</v>
      </c>
      <c r="E30" s="214"/>
      <c r="F30" s="214">
        <f>'T7 Budget, Large Farm '!$J$71</f>
        <v>357.62400000000002</v>
      </c>
      <c r="G30" s="214"/>
      <c r="H30" s="214">
        <f>'T7 Budget, Large Farm '!$J$71</f>
        <v>357.62400000000002</v>
      </c>
      <c r="I30" s="214"/>
    </row>
    <row r="31" spans="2:9" s="197" customFormat="1" ht="16.5" customHeight="1" x14ac:dyDescent="0.25">
      <c r="B31" s="179"/>
      <c r="C31" s="178"/>
      <c r="D31" s="178"/>
      <c r="E31" s="178"/>
      <c r="F31" s="178"/>
      <c r="G31" s="178"/>
      <c r="H31" s="178"/>
      <c r="I31" s="178"/>
    </row>
    <row r="32" spans="2:9" s="86" customFormat="1" ht="15" x14ac:dyDescent="0.25">
      <c r="B32" s="177" t="s">
        <v>225</v>
      </c>
      <c r="C32" s="178"/>
      <c r="D32" s="178">
        <f>'T3 Budget, Small Farm'!$J$78</f>
        <v>1914.4293317163463</v>
      </c>
      <c r="E32" s="178"/>
      <c r="F32" s="178">
        <f>'T7 Budget, Large Farm '!$J$74</f>
        <v>1791.8276002233179</v>
      </c>
      <c r="G32" s="178"/>
      <c r="H32" s="178">
        <f>'T7 Budget, Large Farm '!$J$74</f>
        <v>1791.8276002233179</v>
      </c>
      <c r="I32" s="178"/>
    </row>
    <row r="33" spans="2:9" s="197" customFormat="1" ht="15" x14ac:dyDescent="0.25">
      <c r="B33" s="177"/>
      <c r="C33" s="176"/>
      <c r="D33" s="176"/>
      <c r="E33" s="176"/>
      <c r="F33" s="176"/>
      <c r="G33" s="176"/>
      <c r="H33" s="176"/>
      <c r="I33" s="176"/>
    </row>
    <row r="34" spans="2:9" s="86" customFormat="1" ht="15" x14ac:dyDescent="0.25">
      <c r="B34" s="177" t="s">
        <v>226</v>
      </c>
      <c r="C34" s="178"/>
      <c r="D34" s="178">
        <f>D5-D32</f>
        <v>1025.5706682836537</v>
      </c>
      <c r="E34" s="178"/>
      <c r="F34" s="178">
        <f>F5-F32</f>
        <v>1148.1723997766821</v>
      </c>
      <c r="G34" s="215"/>
      <c r="H34" s="178">
        <f>H5-H32</f>
        <v>960.67239977668214</v>
      </c>
      <c r="I34" s="178"/>
    </row>
    <row r="35" spans="2:9" ht="14.25" x14ac:dyDescent="0.2">
      <c r="B35" s="173"/>
      <c r="C35" s="173"/>
      <c r="D35" s="173"/>
      <c r="E35" s="173"/>
      <c r="F35" s="173"/>
      <c r="G35" s="173"/>
      <c r="H35" s="173"/>
      <c r="I35" s="173"/>
    </row>
    <row r="36" spans="2:9" ht="14.25" x14ac:dyDescent="0.2">
      <c r="B36" s="181"/>
      <c r="C36" s="181"/>
      <c r="D36" s="181"/>
      <c r="E36" s="181"/>
      <c r="F36" s="181"/>
      <c r="G36" s="181"/>
      <c r="H36" s="181"/>
      <c r="I36" s="181"/>
    </row>
    <row r="37" spans="2:9" s="248" customFormat="1" ht="17.25" x14ac:dyDescent="0.25">
      <c r="B37" s="252" t="s">
        <v>257</v>
      </c>
      <c r="C37" s="251"/>
      <c r="D37" s="251"/>
      <c r="E37" s="251"/>
      <c r="F37" s="251"/>
      <c r="G37" s="251"/>
      <c r="H37" s="251"/>
      <c r="I37" s="251"/>
    </row>
    <row r="38" spans="2:9" s="248" customFormat="1" ht="15" x14ac:dyDescent="0.25">
      <c r="B38" s="253" t="s">
        <v>256</v>
      </c>
      <c r="C38" s="250"/>
      <c r="D38" s="250"/>
      <c r="E38" s="250"/>
      <c r="F38" s="250"/>
      <c r="G38" s="250"/>
      <c r="H38" s="250"/>
      <c r="I38" s="250"/>
    </row>
    <row r="39" spans="2:9" s="8" customFormat="1" ht="18" customHeight="1" x14ac:dyDescent="0.2">
      <c r="B39" s="90" t="s">
        <v>190</v>
      </c>
      <c r="C39" s="63"/>
      <c r="D39" s="63"/>
      <c r="E39" s="63"/>
      <c r="F39" s="64"/>
      <c r="G39" s="63"/>
      <c r="H39" s="64"/>
      <c r="I39" s="63"/>
    </row>
    <row r="40" spans="2:9" s="8" customFormat="1" ht="8.25" customHeight="1" x14ac:dyDescent="0.2">
      <c r="B40" s="90"/>
      <c r="C40" s="63"/>
      <c r="D40" s="63"/>
      <c r="E40" s="63"/>
      <c r="F40" s="64"/>
      <c r="G40" s="63"/>
      <c r="H40" s="64"/>
      <c r="I40" s="63"/>
    </row>
    <row r="41" spans="2:9" s="240" customFormat="1" ht="15.75" customHeight="1" x14ac:dyDescent="0.2">
      <c r="B41" s="238" t="s">
        <v>212</v>
      </c>
      <c r="C41" s="239"/>
      <c r="D41" s="239"/>
      <c r="E41" s="239"/>
      <c r="F41" s="154"/>
      <c r="G41" s="239"/>
      <c r="H41" s="154"/>
      <c r="I41" s="239"/>
    </row>
    <row r="42" spans="2:9" s="240" customFormat="1" ht="15.75" customHeight="1" x14ac:dyDescent="0.2">
      <c r="B42" s="199" t="s">
        <v>210</v>
      </c>
      <c r="C42" s="155"/>
      <c r="D42" s="155"/>
      <c r="E42" s="155"/>
      <c r="F42" s="158"/>
      <c r="G42" s="155"/>
      <c r="H42" s="158"/>
      <c r="I42" s="155"/>
    </row>
    <row r="43" spans="2:9" s="240" customFormat="1" ht="15.75" customHeight="1" x14ac:dyDescent="0.2">
      <c r="B43" s="241" t="s">
        <v>211</v>
      </c>
      <c r="C43" s="242"/>
      <c r="D43" s="242"/>
      <c r="E43" s="242"/>
      <c r="F43" s="167"/>
      <c r="G43" s="242"/>
      <c r="H43" s="167"/>
      <c r="I43" s="242"/>
    </row>
  </sheetData>
  <mergeCells count="1">
    <mergeCell ref="B2:I2"/>
  </mergeCells>
  <pageMargins left="0.7" right="0.7" top="0.75" bottom="0.75" header="0.3" footer="0.3"/>
  <pageSetup scale="98" orientation="portrait" r:id="rId1"/>
  <headerFooter>
    <oddFooter>&amp;L&amp;A&amp;C&amp;F&amp;R&amp;D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B3" sqref="B3"/>
    </sheetView>
  </sheetViews>
  <sheetFormatPr defaultColWidth="13.140625" defaultRowHeight="12.75" x14ac:dyDescent="0.2"/>
  <cols>
    <col min="1" max="1" width="4.42578125" style="85" customWidth="1"/>
    <col min="2" max="2" width="13.28515625" style="2" customWidth="1"/>
    <col min="3" max="3" width="24.42578125" style="2" customWidth="1"/>
    <col min="4" max="4" width="38" style="2" customWidth="1"/>
    <col min="5" max="5" width="44.85546875" style="2" customWidth="1"/>
    <col min="6" max="16384" width="13.140625" style="2"/>
  </cols>
  <sheetData>
    <row r="1" spans="2:6" s="85" customFormat="1" ht="17.25" customHeight="1" x14ac:dyDescent="0.2"/>
    <row r="2" spans="2:6" s="85" customFormat="1" ht="33" customHeight="1" x14ac:dyDescent="0.25">
      <c r="B2" s="261" t="s">
        <v>252</v>
      </c>
      <c r="C2" s="261"/>
      <c r="D2" s="261"/>
      <c r="E2" s="261"/>
    </row>
    <row r="3" spans="2:6" s="85" customFormat="1" ht="6" customHeight="1" x14ac:dyDescent="0.25">
      <c r="B3" s="91"/>
      <c r="C3" s="92"/>
      <c r="D3" s="92"/>
      <c r="E3" s="92"/>
    </row>
    <row r="4" spans="2:6" ht="33" customHeight="1" x14ac:dyDescent="0.2">
      <c r="B4" s="151" t="s">
        <v>0</v>
      </c>
      <c r="C4" s="151" t="s">
        <v>1</v>
      </c>
      <c r="D4" s="151" t="s">
        <v>2</v>
      </c>
      <c r="E4" s="151" t="s">
        <v>3</v>
      </c>
      <c r="F4" s="1"/>
    </row>
    <row r="5" spans="2:6" ht="24.95" customHeight="1" x14ac:dyDescent="0.2">
      <c r="B5" s="5" t="s">
        <v>114</v>
      </c>
      <c r="C5" s="5" t="s">
        <v>4</v>
      </c>
      <c r="D5" s="5" t="s">
        <v>165</v>
      </c>
      <c r="E5" s="5" t="s">
        <v>240</v>
      </c>
      <c r="F5" s="1"/>
    </row>
    <row r="6" spans="2:6" ht="24.95" customHeight="1" x14ac:dyDescent="0.2">
      <c r="B6" s="7" t="s">
        <v>114</v>
      </c>
      <c r="C6" s="7" t="s">
        <v>115</v>
      </c>
      <c r="D6" s="7" t="s">
        <v>233</v>
      </c>
      <c r="E6" s="7"/>
      <c r="F6" s="1"/>
    </row>
    <row r="7" spans="2:6" ht="24.95" customHeight="1" x14ac:dyDescent="0.2">
      <c r="B7" s="5" t="s">
        <v>237</v>
      </c>
      <c r="C7" s="5" t="s">
        <v>157</v>
      </c>
      <c r="D7" s="5" t="s">
        <v>161</v>
      </c>
      <c r="E7" s="5"/>
      <c r="F7" s="1"/>
    </row>
    <row r="8" spans="2:6" ht="24.95" customHeight="1" x14ac:dyDescent="0.2">
      <c r="B8" s="7" t="s">
        <v>237</v>
      </c>
      <c r="C8" s="7" t="s">
        <v>162</v>
      </c>
      <c r="D8" s="7" t="s">
        <v>163</v>
      </c>
      <c r="E8" s="7"/>
      <c r="F8" s="1"/>
    </row>
    <row r="9" spans="2:6" ht="24.95" customHeight="1" x14ac:dyDescent="0.2">
      <c r="B9" s="5" t="s">
        <v>237</v>
      </c>
      <c r="C9" s="5" t="s">
        <v>6</v>
      </c>
      <c r="D9" s="5" t="s">
        <v>164</v>
      </c>
      <c r="E9" s="5"/>
      <c r="F9" s="1"/>
    </row>
    <row r="10" spans="2:6" ht="24.95" customHeight="1" x14ac:dyDescent="0.2">
      <c r="B10" s="7" t="s">
        <v>237</v>
      </c>
      <c r="C10" s="7" t="s">
        <v>166</v>
      </c>
      <c r="D10" s="7" t="s">
        <v>168</v>
      </c>
      <c r="E10" s="7"/>
      <c r="F10" s="1"/>
    </row>
    <row r="11" spans="2:6" ht="24.95" customHeight="1" x14ac:dyDescent="0.2">
      <c r="B11" s="5" t="s">
        <v>237</v>
      </c>
      <c r="C11" s="5" t="s">
        <v>118</v>
      </c>
      <c r="D11" s="5" t="s">
        <v>169</v>
      </c>
      <c r="E11" s="5"/>
      <c r="F11" s="1"/>
    </row>
    <row r="12" spans="2:6" ht="24.95" customHeight="1" x14ac:dyDescent="0.2">
      <c r="B12" s="7" t="s">
        <v>237</v>
      </c>
      <c r="C12" s="7" t="s">
        <v>118</v>
      </c>
      <c r="D12" s="7" t="s">
        <v>170</v>
      </c>
      <c r="E12" s="7"/>
      <c r="F12" s="1"/>
    </row>
    <row r="13" spans="2:6" ht="24.95" customHeight="1" x14ac:dyDescent="0.2">
      <c r="B13" s="5" t="s">
        <v>237</v>
      </c>
      <c r="C13" s="5" t="s">
        <v>118</v>
      </c>
      <c r="D13" s="5" t="s">
        <v>170</v>
      </c>
      <c r="E13" s="5"/>
      <c r="F13" s="1"/>
    </row>
    <row r="14" spans="2:6" ht="24.95" customHeight="1" x14ac:dyDescent="0.2">
      <c r="B14" s="7" t="s">
        <v>237</v>
      </c>
      <c r="C14" s="7" t="s">
        <v>8</v>
      </c>
      <c r="D14" s="7" t="s">
        <v>206</v>
      </c>
      <c r="E14" s="7"/>
      <c r="F14" s="1"/>
    </row>
    <row r="15" spans="2:6" ht="24.95" customHeight="1" x14ac:dyDescent="0.2">
      <c r="B15" s="5" t="s">
        <v>238</v>
      </c>
      <c r="C15" s="5" t="s">
        <v>4</v>
      </c>
      <c r="D15" s="5" t="s">
        <v>175</v>
      </c>
      <c r="E15" s="5" t="s">
        <v>174</v>
      </c>
      <c r="F15" s="1"/>
    </row>
    <row r="16" spans="2:6" ht="24.95" customHeight="1" x14ac:dyDescent="0.2">
      <c r="B16" s="7" t="s">
        <v>238</v>
      </c>
      <c r="C16" s="7" t="s">
        <v>112</v>
      </c>
      <c r="D16" s="7" t="s">
        <v>113</v>
      </c>
      <c r="E16" s="7" t="s">
        <v>243</v>
      </c>
      <c r="F16" s="1"/>
    </row>
    <row r="17" spans="1:6" ht="24.95" customHeight="1" x14ac:dyDescent="0.2">
      <c r="B17" s="5" t="s">
        <v>238</v>
      </c>
      <c r="C17" s="5" t="s">
        <v>112</v>
      </c>
      <c r="D17" s="5" t="s">
        <v>113</v>
      </c>
      <c r="E17" s="5" t="s">
        <v>243</v>
      </c>
      <c r="F17" s="1"/>
    </row>
    <row r="18" spans="1:6" ht="24.95" customHeight="1" x14ac:dyDescent="0.2">
      <c r="B18" s="7" t="s">
        <v>238</v>
      </c>
      <c r="C18" s="7" t="s">
        <v>171</v>
      </c>
      <c r="D18" s="7" t="s">
        <v>172</v>
      </c>
      <c r="E18" s="7"/>
      <c r="F18" s="1"/>
    </row>
    <row r="19" spans="1:6" ht="24.95" customHeight="1" x14ac:dyDescent="0.2">
      <c r="B19" s="5" t="s">
        <v>239</v>
      </c>
      <c r="C19" s="5" t="s">
        <v>109</v>
      </c>
      <c r="D19" s="5" t="s">
        <v>173</v>
      </c>
      <c r="E19" s="5"/>
      <c r="F19" s="1"/>
    </row>
    <row r="20" spans="1:6" ht="24.95" customHeight="1" x14ac:dyDescent="0.2">
      <c r="B20" s="7" t="s">
        <v>239</v>
      </c>
      <c r="C20" s="7" t="s">
        <v>5</v>
      </c>
      <c r="D20" s="7" t="s">
        <v>247</v>
      </c>
      <c r="E20" s="7"/>
      <c r="F20" s="1"/>
    </row>
    <row r="21" spans="1:6" ht="24.95" customHeight="1" x14ac:dyDescent="0.2">
      <c r="B21" s="5" t="s">
        <v>239</v>
      </c>
      <c r="C21" s="5" t="s">
        <v>5</v>
      </c>
      <c r="D21" s="5" t="s">
        <v>250</v>
      </c>
      <c r="E21" s="5"/>
      <c r="F21" s="1"/>
    </row>
    <row r="22" spans="1:6" s="1" customFormat="1" x14ac:dyDescent="0.2">
      <c r="A22" s="85"/>
    </row>
    <row r="23" spans="1:6" x14ac:dyDescent="0.2">
      <c r="B23" s="1"/>
      <c r="C23" s="1"/>
      <c r="D23" s="1"/>
      <c r="E23" s="1"/>
    </row>
    <row r="24" spans="1:6" x14ac:dyDescent="0.2">
      <c r="B24" s="1"/>
      <c r="C24" s="1"/>
      <c r="D24" s="1"/>
      <c r="E24" s="1"/>
    </row>
    <row r="25" spans="1:6" x14ac:dyDescent="0.2">
      <c r="B25" s="1"/>
      <c r="C25" s="1"/>
      <c r="D25" s="1"/>
      <c r="E25" s="1"/>
    </row>
    <row r="26" spans="1:6" x14ac:dyDescent="0.2">
      <c r="B26" s="1"/>
      <c r="C26" s="1"/>
      <c r="D26" s="1"/>
      <c r="E26" s="1"/>
    </row>
    <row r="27" spans="1:6" x14ac:dyDescent="0.2">
      <c r="B27" s="1"/>
      <c r="C27" s="1"/>
      <c r="D27" s="1"/>
      <c r="E27" s="1"/>
    </row>
    <row r="28" spans="1:6" x14ac:dyDescent="0.2">
      <c r="B28" s="1"/>
      <c r="C28" s="1"/>
      <c r="D28" s="1"/>
      <c r="E28" s="1"/>
    </row>
    <row r="29" spans="1:6" x14ac:dyDescent="0.2">
      <c r="B29" s="1"/>
      <c r="C29" s="1"/>
      <c r="D29" s="1"/>
      <c r="E29" s="1"/>
    </row>
    <row r="30" spans="1:6" x14ac:dyDescent="0.2">
      <c r="B30" s="1"/>
      <c r="C30" s="1"/>
      <c r="D30" s="1"/>
      <c r="E30" s="1"/>
    </row>
    <row r="31" spans="1:6" x14ac:dyDescent="0.2">
      <c r="B31" s="1"/>
      <c r="C31" s="1"/>
      <c r="D31" s="1"/>
      <c r="E31" s="1"/>
    </row>
    <row r="32" spans="1:6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</sheetData>
  <mergeCells count="1">
    <mergeCell ref="B2:E2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8"/>
  <sheetViews>
    <sheetView topLeftCell="A7" zoomScaleNormal="100" workbookViewId="0">
      <selection activeCell="B8" sqref="B8"/>
    </sheetView>
  </sheetViews>
  <sheetFormatPr defaultColWidth="8.7109375" defaultRowHeight="12.75" x14ac:dyDescent="0.2"/>
  <cols>
    <col min="1" max="1" width="3" style="8" customWidth="1"/>
    <col min="2" max="2" width="32.42578125" customWidth="1"/>
    <col min="3" max="3" width="2.42578125" customWidth="1"/>
    <col min="4" max="4" width="12" style="79" customWidth="1"/>
    <col min="5" max="5" width="2.42578125" customWidth="1"/>
    <col min="6" max="6" width="11" style="80" customWidth="1"/>
    <col min="7" max="7" width="2.42578125" customWidth="1"/>
    <col min="8" max="8" width="10.7109375" style="79" customWidth="1"/>
    <col min="9" max="9" width="2.42578125" customWidth="1"/>
    <col min="10" max="10" width="20.7109375" style="81" customWidth="1"/>
    <col min="11" max="11" width="3.28515625" hidden="1" customWidth="1"/>
    <col min="12" max="33" width="8.7109375" style="8" customWidth="1"/>
  </cols>
  <sheetData>
    <row r="1" spans="1:33" s="8" customFormat="1" ht="18" customHeight="1" x14ac:dyDescent="0.2">
      <c r="B1" s="90" t="s">
        <v>191</v>
      </c>
      <c r="C1" s="161"/>
      <c r="D1" s="162"/>
      <c r="E1" s="161"/>
      <c r="F1" s="163"/>
      <c r="G1" s="161"/>
      <c r="H1" s="162"/>
      <c r="I1" s="161"/>
      <c r="J1" s="161"/>
    </row>
    <row r="2" spans="1:33" s="8" customFormat="1" ht="15.75" customHeight="1" x14ac:dyDescent="0.2">
      <c r="B2" s="201" t="s">
        <v>212</v>
      </c>
      <c r="C2" s="152"/>
      <c r="D2" s="153"/>
      <c r="E2" s="152"/>
      <c r="F2" s="154"/>
      <c r="G2" s="152"/>
      <c r="H2" s="153"/>
      <c r="I2" s="152"/>
      <c r="J2" s="152"/>
    </row>
    <row r="3" spans="1:33" s="8" customFormat="1" ht="15.75" customHeight="1" x14ac:dyDescent="0.2">
      <c r="B3" s="199" t="s">
        <v>210</v>
      </c>
      <c r="C3" s="155"/>
      <c r="D3" s="156"/>
      <c r="E3" s="157"/>
      <c r="F3" s="158"/>
      <c r="G3" s="157"/>
      <c r="H3" s="156"/>
      <c r="I3" s="157"/>
      <c r="J3" s="157"/>
    </row>
    <row r="4" spans="1:33" s="8" customFormat="1" ht="15.75" customHeight="1" x14ac:dyDescent="0.2">
      <c r="B4" s="164" t="s">
        <v>192</v>
      </c>
      <c r="C4" s="159"/>
      <c r="D4" s="159"/>
      <c r="E4" s="159"/>
      <c r="F4" s="159"/>
      <c r="G4" s="159"/>
      <c r="H4" s="159"/>
      <c r="I4" s="160"/>
      <c r="J4" s="160"/>
    </row>
    <row r="5" spans="1:33" s="8" customFormat="1" ht="15.75" customHeight="1" x14ac:dyDescent="0.2">
      <c r="B5" s="200" t="s">
        <v>213</v>
      </c>
      <c r="C5" s="165"/>
      <c r="D5" s="166"/>
      <c r="E5" s="165"/>
      <c r="F5" s="167"/>
      <c r="G5" s="165"/>
      <c r="H5" s="166"/>
      <c r="I5" s="165"/>
      <c r="J5" s="165"/>
    </row>
    <row r="6" spans="1:33" s="8" customFormat="1" x14ac:dyDescent="0.2">
      <c r="D6" s="18"/>
      <c r="F6" s="19"/>
      <c r="H6" s="18"/>
    </row>
    <row r="7" spans="1:33" s="84" customFormat="1" ht="37.5" customHeight="1" x14ac:dyDescent="0.25">
      <c r="B7" s="263" t="s">
        <v>258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33" s="86" customFormat="1" ht="7.5" customHeight="1" x14ac:dyDescent="0.2">
      <c r="B8" s="87"/>
      <c r="C8" s="87"/>
      <c r="D8" s="88"/>
      <c r="E8" s="87"/>
      <c r="F8" s="89"/>
      <c r="G8" s="87"/>
      <c r="H8" s="88"/>
      <c r="I8" s="87"/>
      <c r="J8" s="87"/>
      <c r="K8" s="87"/>
    </row>
    <row r="9" spans="1:33" s="25" customFormat="1" ht="14.25" x14ac:dyDescent="0.2">
      <c r="A9" s="20"/>
      <c r="B9" s="21"/>
      <c r="C9" s="21"/>
      <c r="D9" s="22" t="s">
        <v>50</v>
      </c>
      <c r="E9" s="22"/>
      <c r="F9" s="23"/>
      <c r="G9" s="22"/>
      <c r="H9" s="22" t="s">
        <v>51</v>
      </c>
      <c r="I9" s="22"/>
      <c r="J9" s="24" t="s">
        <v>52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s="25" customFormat="1" ht="14.25" x14ac:dyDescent="0.2">
      <c r="A10" s="20"/>
      <c r="B10" s="26" t="s">
        <v>53</v>
      </c>
      <c r="C10" s="21"/>
      <c r="D10" s="22" t="s">
        <v>54</v>
      </c>
      <c r="E10" s="22"/>
      <c r="F10" s="23" t="s">
        <v>55</v>
      </c>
      <c r="G10" s="22"/>
      <c r="H10" s="22" t="s">
        <v>56</v>
      </c>
      <c r="I10" s="22"/>
      <c r="J10" s="24" t="s">
        <v>57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2">
      <c r="B11" s="27"/>
      <c r="C11" s="13"/>
      <c r="D11" s="27"/>
      <c r="E11" s="13"/>
      <c r="F11" s="28"/>
      <c r="G11" s="13"/>
      <c r="H11" s="27"/>
      <c r="I11" s="13"/>
      <c r="J11" s="29"/>
      <c r="K11" s="30"/>
    </row>
    <row r="12" spans="1:33" x14ac:dyDescent="0.2">
      <c r="B12" s="31" t="s">
        <v>58</v>
      </c>
      <c r="C12" s="32"/>
      <c r="D12" s="33"/>
      <c r="E12" s="32"/>
      <c r="F12" s="34"/>
      <c r="G12" s="32"/>
      <c r="H12" s="33"/>
      <c r="I12" s="32"/>
      <c r="J12" s="35"/>
    </row>
    <row r="13" spans="1:33" x14ac:dyDescent="0.2">
      <c r="B13" s="198" t="s">
        <v>208</v>
      </c>
      <c r="C13" s="36"/>
      <c r="D13" s="208">
        <v>375</v>
      </c>
      <c r="E13" s="32"/>
      <c r="F13" s="46" t="s">
        <v>101</v>
      </c>
      <c r="G13" s="32"/>
      <c r="H13" s="209">
        <v>7.84</v>
      </c>
      <c r="I13" s="36"/>
      <c r="J13" s="37">
        <f>D13*H13</f>
        <v>2940</v>
      </c>
      <c r="K13" s="38"/>
      <c r="M13" s="265"/>
      <c r="N13" s="265"/>
      <c r="O13" s="265"/>
      <c r="P13" s="265"/>
      <c r="Q13" s="265"/>
    </row>
    <row r="14" spans="1:33" ht="8.25" customHeight="1" x14ac:dyDescent="0.2">
      <c r="B14" s="32"/>
      <c r="C14" s="32"/>
      <c r="D14" s="33"/>
      <c r="E14" s="32"/>
      <c r="F14" s="34"/>
      <c r="G14" s="32"/>
      <c r="H14" s="42"/>
      <c r="I14" s="32"/>
      <c r="J14" s="49"/>
    </row>
    <row r="15" spans="1:33" x14ac:dyDescent="0.2">
      <c r="B15" s="31" t="s">
        <v>59</v>
      </c>
      <c r="C15" s="32"/>
      <c r="D15" s="33"/>
      <c r="E15" s="32"/>
      <c r="F15" s="34"/>
      <c r="G15" s="32"/>
      <c r="H15" s="42"/>
      <c r="I15" s="32"/>
      <c r="J15" s="49"/>
    </row>
    <row r="16" spans="1:33" ht="8.25" customHeight="1" x14ac:dyDescent="0.2">
      <c r="B16" s="32"/>
      <c r="C16" s="32"/>
      <c r="D16" s="33"/>
      <c r="E16" s="32"/>
      <c r="F16" s="34"/>
      <c r="G16" s="32"/>
      <c r="H16" s="42"/>
      <c r="I16" s="32"/>
      <c r="J16" s="49"/>
    </row>
    <row r="17" spans="1:33" ht="15.75" x14ac:dyDescent="0.25">
      <c r="B17" s="53" t="s">
        <v>60</v>
      </c>
      <c r="C17" s="32"/>
      <c r="D17" s="43"/>
      <c r="E17" s="32"/>
      <c r="F17" s="34"/>
      <c r="G17" s="32"/>
      <c r="H17" s="42"/>
      <c r="I17" s="32"/>
      <c r="J17" s="97">
        <f>SUM(J18:J19)</f>
        <v>382.5</v>
      </c>
    </row>
    <row r="18" spans="1:33" x14ac:dyDescent="0.2">
      <c r="B18" s="93" t="s">
        <v>209</v>
      </c>
      <c r="C18" s="32"/>
      <c r="D18" s="206">
        <v>22.5</v>
      </c>
      <c r="E18" s="32"/>
      <c r="F18" s="46" t="s">
        <v>101</v>
      </c>
      <c r="G18" s="32"/>
      <c r="H18" s="210">
        <v>15</v>
      </c>
      <c r="I18" s="32"/>
      <c r="J18" s="49">
        <f>D18*H18</f>
        <v>337.5</v>
      </c>
    </row>
    <row r="19" spans="1:33" x14ac:dyDescent="0.2">
      <c r="B19" s="93" t="s">
        <v>167</v>
      </c>
      <c r="C19" s="32"/>
      <c r="D19" s="213">
        <v>22.5</v>
      </c>
      <c r="E19" s="32"/>
      <c r="F19" s="46" t="s">
        <v>101</v>
      </c>
      <c r="G19" s="32"/>
      <c r="H19" s="212">
        <v>2</v>
      </c>
      <c r="I19" s="32"/>
      <c r="J19" s="49">
        <f>D19*H19</f>
        <v>45</v>
      </c>
    </row>
    <row r="20" spans="1:33" ht="8.25" customHeight="1" x14ac:dyDescent="0.2">
      <c r="B20" s="32"/>
      <c r="C20" s="32"/>
      <c r="D20" s="33"/>
      <c r="E20" s="32"/>
      <c r="F20" s="34"/>
      <c r="G20" s="32"/>
      <c r="H20" s="42"/>
      <c r="I20" s="32"/>
      <c r="J20" s="49"/>
    </row>
    <row r="21" spans="1:33" x14ac:dyDescent="0.2">
      <c r="B21" s="53" t="s">
        <v>61</v>
      </c>
      <c r="C21" s="32"/>
      <c r="D21" s="33"/>
      <c r="E21" s="32"/>
      <c r="F21" s="34"/>
      <c r="G21" s="32"/>
      <c r="H21" s="42"/>
      <c r="I21" s="32"/>
      <c r="J21" s="97">
        <f>SUM(J22:J24)</f>
        <v>146.75</v>
      </c>
      <c r="M21" s="12"/>
    </row>
    <row r="22" spans="1:33" x14ac:dyDescent="0.2">
      <c r="B22" s="93" t="s">
        <v>104</v>
      </c>
      <c r="C22" s="32"/>
      <c r="D22" s="206">
        <v>4</v>
      </c>
      <c r="E22" s="32"/>
      <c r="F22" s="94" t="s">
        <v>96</v>
      </c>
      <c r="G22" s="32"/>
      <c r="H22" s="210">
        <v>20</v>
      </c>
      <c r="I22" s="32"/>
      <c r="J22" s="49">
        <f>D22*H22</f>
        <v>80</v>
      </c>
    </row>
    <row r="23" spans="1:33" x14ac:dyDescent="0.2">
      <c r="B23" s="93" t="s">
        <v>156</v>
      </c>
      <c r="C23" s="32"/>
      <c r="D23" s="206">
        <v>3</v>
      </c>
      <c r="E23" s="32"/>
      <c r="F23" s="94" t="s">
        <v>70</v>
      </c>
      <c r="G23" s="32"/>
      <c r="H23" s="210">
        <v>2.25</v>
      </c>
      <c r="I23" s="32"/>
      <c r="J23" s="49">
        <f>D23*H23</f>
        <v>6.75</v>
      </c>
    </row>
    <row r="24" spans="1:33" x14ac:dyDescent="0.2">
      <c r="B24" s="93" t="s">
        <v>117</v>
      </c>
      <c r="C24" s="32"/>
      <c r="D24" s="206">
        <v>30</v>
      </c>
      <c r="E24" s="32"/>
      <c r="F24" s="94" t="s">
        <v>70</v>
      </c>
      <c r="G24" s="32"/>
      <c r="H24" s="210">
        <v>2</v>
      </c>
      <c r="I24" s="32"/>
      <c r="J24" s="49">
        <f>D24*H24</f>
        <v>60</v>
      </c>
    </row>
    <row r="25" spans="1:33" ht="8.25" customHeight="1" x14ac:dyDescent="0.2">
      <c r="B25" s="32"/>
      <c r="C25" s="32"/>
      <c r="D25" s="33"/>
      <c r="E25" s="32"/>
      <c r="F25" s="34"/>
      <c r="G25" s="32"/>
      <c r="H25" s="42"/>
      <c r="I25" s="32"/>
      <c r="J25" s="49"/>
    </row>
    <row r="26" spans="1:33" s="17" customFormat="1" x14ac:dyDescent="0.2">
      <c r="A26" s="16"/>
      <c r="B26" s="53" t="s">
        <v>62</v>
      </c>
      <c r="C26" s="53"/>
      <c r="D26" s="54"/>
      <c r="E26" s="53"/>
      <c r="F26" s="55"/>
      <c r="G26" s="53"/>
      <c r="H26" s="95"/>
      <c r="I26" s="53"/>
      <c r="J26" s="97">
        <f>SUM(J27:J28)</f>
        <v>96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">
      <c r="B27" s="93" t="s">
        <v>242</v>
      </c>
      <c r="C27" s="32"/>
      <c r="D27" s="206">
        <v>3</v>
      </c>
      <c r="E27" s="32"/>
      <c r="F27" s="46" t="s">
        <v>63</v>
      </c>
      <c r="G27" s="32"/>
      <c r="H27" s="210">
        <v>32</v>
      </c>
      <c r="I27" s="32"/>
      <c r="J27" s="49">
        <f>D27*H27</f>
        <v>96</v>
      </c>
    </row>
    <row r="28" spans="1:33" x14ac:dyDescent="0.2">
      <c r="B28" s="48"/>
      <c r="C28" s="32"/>
      <c r="D28" s="50"/>
      <c r="E28" s="32"/>
      <c r="F28" s="46"/>
      <c r="G28" s="32"/>
      <c r="H28" s="47"/>
      <c r="I28" s="32"/>
      <c r="J28" s="49">
        <f>D28*H28</f>
        <v>0</v>
      </c>
    </row>
    <row r="29" spans="1:33" x14ac:dyDescent="0.2">
      <c r="B29" s="32"/>
      <c r="C29" s="32"/>
      <c r="D29" s="51"/>
      <c r="E29" s="32"/>
      <c r="F29" s="34"/>
      <c r="G29" s="32"/>
      <c r="H29" s="42"/>
      <c r="I29" s="32"/>
      <c r="J29" s="49"/>
    </row>
    <row r="30" spans="1:33" s="17" customFormat="1" x14ac:dyDescent="0.2">
      <c r="A30" s="16"/>
      <c r="B30" s="53" t="s">
        <v>64</v>
      </c>
      <c r="C30" s="53"/>
      <c r="D30" s="96"/>
      <c r="E30" s="53"/>
      <c r="F30" s="55"/>
      <c r="G30" s="53"/>
      <c r="H30" s="95"/>
      <c r="I30" s="53"/>
      <c r="J30" s="97">
        <f>SUM(J31:J32)</f>
        <v>58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2">
      <c r="B31" s="93" t="s">
        <v>105</v>
      </c>
      <c r="C31" s="32"/>
      <c r="D31" s="206">
        <v>2</v>
      </c>
      <c r="E31" s="32"/>
      <c r="F31" s="46" t="s">
        <v>65</v>
      </c>
      <c r="G31" s="32"/>
      <c r="H31" s="211">
        <v>19</v>
      </c>
      <c r="I31" s="32"/>
      <c r="J31" s="49">
        <f>D31*H31</f>
        <v>38</v>
      </c>
    </row>
    <row r="32" spans="1:33" x14ac:dyDescent="0.2">
      <c r="B32" s="48" t="s">
        <v>154</v>
      </c>
      <c r="C32" s="32"/>
      <c r="D32" s="206">
        <v>1</v>
      </c>
      <c r="E32" s="32"/>
      <c r="F32" s="46" t="s">
        <v>65</v>
      </c>
      <c r="G32" s="32"/>
      <c r="H32" s="210">
        <v>20</v>
      </c>
      <c r="I32" s="32"/>
      <c r="J32" s="49">
        <f>D32*H32</f>
        <v>20</v>
      </c>
    </row>
    <row r="33" spans="1:33" ht="8.25" customHeight="1" x14ac:dyDescent="0.2">
      <c r="B33" s="32"/>
      <c r="C33" s="32"/>
      <c r="D33" s="33"/>
      <c r="E33" s="32"/>
      <c r="F33" s="34"/>
      <c r="G33" s="32"/>
      <c r="H33" s="42"/>
      <c r="I33" s="32"/>
      <c r="J33" s="49"/>
    </row>
    <row r="34" spans="1:33" s="17" customFormat="1" x14ac:dyDescent="0.2">
      <c r="A34" s="16"/>
      <c r="B34" s="53" t="s">
        <v>106</v>
      </c>
      <c r="C34" s="53"/>
      <c r="D34" s="96"/>
      <c r="E34" s="53"/>
      <c r="F34" s="55"/>
      <c r="G34" s="53"/>
      <c r="H34" s="95"/>
      <c r="I34" s="53"/>
      <c r="J34" s="97">
        <f>SUM(J35:J38)</f>
        <v>363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2">
      <c r="B35" s="81" t="s">
        <v>155</v>
      </c>
      <c r="C35" s="32"/>
      <c r="D35" s="45">
        <v>1</v>
      </c>
      <c r="E35" s="32"/>
      <c r="F35" s="46" t="s">
        <v>65</v>
      </c>
      <c r="G35" s="32"/>
      <c r="H35" s="210">
        <v>250</v>
      </c>
      <c r="I35" s="32"/>
      <c r="J35" s="49">
        <f>D35*H35</f>
        <v>250</v>
      </c>
    </row>
    <row r="36" spans="1:33" x14ac:dyDescent="0.2">
      <c r="B36" s="81" t="s">
        <v>99</v>
      </c>
      <c r="C36" s="32"/>
      <c r="D36" s="45">
        <v>1</v>
      </c>
      <c r="E36" s="32"/>
      <c r="F36" s="94" t="s">
        <v>65</v>
      </c>
      <c r="G36" s="32"/>
      <c r="H36" s="168">
        <v>15</v>
      </c>
      <c r="I36" s="32"/>
      <c r="J36" s="49">
        <f>D36*H36</f>
        <v>15</v>
      </c>
    </row>
    <row r="37" spans="1:33" x14ac:dyDescent="0.2">
      <c r="B37" s="81" t="s">
        <v>97</v>
      </c>
      <c r="C37" s="32"/>
      <c r="D37" s="45">
        <v>1</v>
      </c>
      <c r="E37" s="32"/>
      <c r="F37" s="46" t="s">
        <v>65</v>
      </c>
      <c r="G37" s="32"/>
      <c r="H37" s="210">
        <v>43</v>
      </c>
      <c r="I37" s="32"/>
      <c r="J37" s="49">
        <f>D37*H37</f>
        <v>43</v>
      </c>
    </row>
    <row r="38" spans="1:33" x14ac:dyDescent="0.2">
      <c r="B38" s="81" t="s">
        <v>98</v>
      </c>
      <c r="C38" s="32"/>
      <c r="D38" s="45">
        <v>1</v>
      </c>
      <c r="E38" s="32"/>
      <c r="F38" s="46" t="s">
        <v>65</v>
      </c>
      <c r="G38" s="32"/>
      <c r="H38" s="210">
        <v>55</v>
      </c>
      <c r="I38" s="32"/>
      <c r="J38" s="49">
        <f>D38*H38</f>
        <v>55</v>
      </c>
    </row>
    <row r="39" spans="1:33" ht="6" customHeight="1" x14ac:dyDescent="0.2">
      <c r="B39" s="32"/>
      <c r="C39" s="32"/>
      <c r="D39" s="33"/>
      <c r="E39" s="32"/>
      <c r="F39" s="34"/>
      <c r="G39" s="32"/>
      <c r="H39" s="42"/>
      <c r="I39" s="32"/>
      <c r="J39" s="49"/>
    </row>
    <row r="40" spans="1:33" s="17" customFormat="1" x14ac:dyDescent="0.2">
      <c r="A40" s="16"/>
      <c r="B40" s="53" t="s">
        <v>107</v>
      </c>
      <c r="C40" s="53"/>
      <c r="D40" s="96"/>
      <c r="E40" s="53"/>
      <c r="F40" s="55"/>
      <c r="G40" s="53"/>
      <c r="H40" s="95"/>
      <c r="I40" s="53"/>
      <c r="J40" s="97">
        <f>SUM(J41:J44)</f>
        <v>159.10743500000001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2">
      <c r="B41" s="81" t="s">
        <v>69</v>
      </c>
      <c r="C41" s="32"/>
      <c r="D41" s="246">
        <f>'T4-T5 Mach. Costs, Small Farm'!L53</f>
        <v>23.029899999999998</v>
      </c>
      <c r="E41" s="32"/>
      <c r="F41" s="46" t="s">
        <v>70</v>
      </c>
      <c r="G41" s="32"/>
      <c r="H41" s="169">
        <v>2.65</v>
      </c>
      <c r="I41" s="32"/>
      <c r="J41" s="49">
        <f>D41*H41</f>
        <v>61.029234999999993</v>
      </c>
    </row>
    <row r="42" spans="1:33" x14ac:dyDescent="0.2">
      <c r="B42" s="81" t="s">
        <v>71</v>
      </c>
      <c r="C42" s="32"/>
      <c r="D42" s="45">
        <v>1</v>
      </c>
      <c r="E42" s="32"/>
      <c r="F42" s="46" t="s">
        <v>65</v>
      </c>
      <c r="G42" s="32"/>
      <c r="H42" s="204">
        <f>'T4-T5 Mach. Costs, Small Farm'!I53*0.15</f>
        <v>8.1281999999999996</v>
      </c>
      <c r="I42" s="32"/>
      <c r="J42" s="49">
        <f>D42*H42</f>
        <v>8.1281999999999996</v>
      </c>
    </row>
    <row r="43" spans="1:33" x14ac:dyDescent="0.2">
      <c r="B43" s="81" t="s">
        <v>72</v>
      </c>
      <c r="C43" s="32"/>
      <c r="D43" s="45">
        <v>1</v>
      </c>
      <c r="E43" s="32"/>
      <c r="F43" s="46" t="s">
        <v>65</v>
      </c>
      <c r="G43" s="32"/>
      <c r="H43" s="204">
        <f>'T4-T5 Mach. Costs, Small Farm'!G53</f>
        <v>89.95</v>
      </c>
      <c r="I43" s="32"/>
      <c r="J43" s="49">
        <f>D43*H43</f>
        <v>89.95</v>
      </c>
    </row>
    <row r="44" spans="1:33" x14ac:dyDescent="0.2">
      <c r="B44" s="48"/>
      <c r="C44" s="32"/>
      <c r="D44" s="45"/>
      <c r="E44" s="32"/>
      <c r="F44" s="46"/>
      <c r="G44" s="32"/>
      <c r="H44" s="47"/>
      <c r="I44" s="32"/>
      <c r="J44" s="49"/>
    </row>
    <row r="45" spans="1:33" ht="5.25" customHeight="1" x14ac:dyDescent="0.2">
      <c r="B45" s="32"/>
      <c r="C45" s="32"/>
      <c r="D45" s="33"/>
      <c r="E45" s="32"/>
      <c r="F45" s="34"/>
      <c r="G45" s="32"/>
      <c r="H45" s="42"/>
      <c r="I45" s="32"/>
      <c r="J45" s="49"/>
    </row>
    <row r="46" spans="1:33" s="17" customFormat="1" x14ac:dyDescent="0.2">
      <c r="A46" s="16"/>
      <c r="B46" s="53" t="s">
        <v>108</v>
      </c>
      <c r="C46" s="53"/>
      <c r="D46" s="96"/>
      <c r="E46" s="53"/>
      <c r="F46" s="55"/>
      <c r="G46" s="53"/>
      <c r="H46" s="95"/>
      <c r="I46" s="53"/>
      <c r="J46" s="97">
        <f>SUM(J47:J49)</f>
        <v>178.67907692307693</v>
      </c>
      <c r="L46" s="8"/>
      <c r="M46" s="8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x14ac:dyDescent="0.2">
      <c r="B47" s="196" t="s">
        <v>232</v>
      </c>
      <c r="C47" s="32"/>
      <c r="D47" s="45">
        <v>2.4</v>
      </c>
      <c r="E47" s="32"/>
      <c r="F47" s="46" t="s">
        <v>100</v>
      </c>
      <c r="G47" s="32"/>
      <c r="H47" s="207">
        <v>11.25</v>
      </c>
      <c r="I47" s="32"/>
      <c r="J47" s="49">
        <f>D47*H47</f>
        <v>27</v>
      </c>
    </row>
    <row r="48" spans="1:33" x14ac:dyDescent="0.2">
      <c r="B48" s="196" t="s">
        <v>207</v>
      </c>
      <c r="C48" s="32"/>
      <c r="D48" s="45">
        <v>1</v>
      </c>
      <c r="E48" s="32"/>
      <c r="F48" s="46" t="s">
        <v>65</v>
      </c>
      <c r="G48" s="32"/>
      <c r="H48" s="212">
        <v>50</v>
      </c>
      <c r="I48" s="32"/>
      <c r="J48" s="49">
        <f>D48*H48</f>
        <v>50</v>
      </c>
    </row>
    <row r="49" spans="1:33" x14ac:dyDescent="0.2">
      <c r="B49" s="48" t="s">
        <v>249</v>
      </c>
      <c r="C49" s="32"/>
      <c r="D49" s="82">
        <f>'T4-T5 Mach. Costs, Small Farm'!K53</f>
        <v>6.4353846153846153</v>
      </c>
      <c r="E49" s="32"/>
      <c r="F49" s="46" t="s">
        <v>100</v>
      </c>
      <c r="G49" s="32"/>
      <c r="H49" s="169">
        <v>15.8</v>
      </c>
      <c r="I49" s="32"/>
      <c r="J49" s="49">
        <f>D49*H49</f>
        <v>101.67907692307692</v>
      </c>
      <c r="K49" t="e">
        <f>#REF!</f>
        <v>#REF!</v>
      </c>
    </row>
    <row r="50" spans="1:33" ht="12.75" customHeight="1" x14ac:dyDescent="0.2">
      <c r="B50" s="32"/>
      <c r="C50" s="32"/>
      <c r="D50" s="33"/>
      <c r="E50" s="32"/>
      <c r="F50" s="34"/>
      <c r="G50" s="32"/>
      <c r="H50" s="42"/>
      <c r="I50" s="32"/>
      <c r="J50" s="49"/>
    </row>
    <row r="51" spans="1:33" ht="8.25" customHeight="1" x14ac:dyDescent="0.2">
      <c r="B51" s="32"/>
      <c r="C51" s="32"/>
      <c r="D51" s="33"/>
      <c r="E51" s="32"/>
      <c r="F51" s="34"/>
      <c r="G51" s="32"/>
      <c r="H51" s="42"/>
      <c r="I51" s="32"/>
      <c r="J51" s="49"/>
    </row>
    <row r="52" spans="1:33" s="17" customFormat="1" x14ac:dyDescent="0.2">
      <c r="A52" s="16"/>
      <c r="B52" s="53" t="s">
        <v>66</v>
      </c>
      <c r="C52" s="53"/>
      <c r="D52" s="54"/>
      <c r="E52" s="53"/>
      <c r="F52" s="55"/>
      <c r="G52" s="53"/>
      <c r="H52" s="95"/>
      <c r="I52" s="53"/>
      <c r="J52" s="97">
        <f>SUM(J53:J55)</f>
        <v>152.45182559615387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2">
      <c r="B53" s="196" t="s">
        <v>176</v>
      </c>
      <c r="C53" s="32"/>
      <c r="D53" s="45">
        <v>1</v>
      </c>
      <c r="E53" s="32"/>
      <c r="F53" s="46" t="s">
        <v>65</v>
      </c>
      <c r="G53" s="32"/>
      <c r="H53" s="212">
        <v>30</v>
      </c>
      <c r="I53" s="32"/>
      <c r="J53" s="49">
        <f>D53*H53</f>
        <v>30</v>
      </c>
    </row>
    <row r="54" spans="1:33" x14ac:dyDescent="0.2">
      <c r="B54" s="196" t="s">
        <v>68</v>
      </c>
      <c r="C54" s="32"/>
      <c r="D54" s="45">
        <v>1</v>
      </c>
      <c r="E54" s="32"/>
      <c r="F54" s="46" t="s">
        <v>65</v>
      </c>
      <c r="G54" s="32"/>
      <c r="H54" s="52">
        <f>(+J17+J21+J26+J30+J34+J46+J40+H53)*0.05</f>
        <v>70.701825596153853</v>
      </c>
      <c r="I54" s="32"/>
      <c r="J54" s="49">
        <f>+H54</f>
        <v>70.701825596153853</v>
      </c>
    </row>
    <row r="55" spans="1:33" x14ac:dyDescent="0.2">
      <c r="B55" s="196" t="s">
        <v>102</v>
      </c>
      <c r="C55" s="32"/>
      <c r="D55" s="45">
        <v>1</v>
      </c>
      <c r="E55" s="32"/>
      <c r="F55" s="46" t="s">
        <v>65</v>
      </c>
      <c r="G55" s="32"/>
      <c r="H55" s="52"/>
      <c r="I55" s="32"/>
      <c r="J55" s="49">
        <v>51.75</v>
      </c>
    </row>
    <row r="56" spans="1:33" ht="8.25" customHeight="1" x14ac:dyDescent="0.2">
      <c r="B56" s="32"/>
      <c r="C56" s="32"/>
      <c r="D56" s="33"/>
      <c r="E56" s="32"/>
      <c r="F56" s="34"/>
      <c r="G56" s="32"/>
      <c r="H56" s="42"/>
      <c r="I56" s="32"/>
      <c r="J56" s="49"/>
    </row>
    <row r="57" spans="1:33" x14ac:dyDescent="0.2">
      <c r="B57" s="32" t="s">
        <v>73</v>
      </c>
      <c r="C57" s="32"/>
      <c r="D57" s="33"/>
      <c r="E57" s="32"/>
      <c r="F57" s="34"/>
      <c r="G57" s="32"/>
      <c r="H57" s="33"/>
      <c r="I57" s="32"/>
      <c r="J57" s="49">
        <f>+(J17+J21+J26+J30+J34+J46+J40+J52-H54)*0.075*0.5</f>
        <v>54.966994197115383</v>
      </c>
    </row>
    <row r="58" spans="1:33" ht="8.25" customHeight="1" x14ac:dyDescent="0.2">
      <c r="B58" s="32"/>
      <c r="C58" s="32"/>
      <c r="D58" s="33"/>
      <c r="E58" s="32"/>
      <c r="F58" s="34"/>
      <c r="G58" s="32"/>
      <c r="H58" s="42"/>
      <c r="I58" s="32"/>
      <c r="J58" s="49"/>
    </row>
    <row r="59" spans="1:33" x14ac:dyDescent="0.2">
      <c r="B59" s="53" t="s">
        <v>74</v>
      </c>
      <c r="C59" s="53"/>
      <c r="D59" s="54"/>
      <c r="E59" s="53"/>
      <c r="F59" s="55"/>
      <c r="G59" s="53"/>
      <c r="H59" s="54"/>
      <c r="I59" s="53"/>
      <c r="J59" s="56">
        <f>SUM(J17:J57)-(J17+J21+J26+J30+J34+J46+J40+J52)</f>
        <v>1591.4553317163463</v>
      </c>
    </row>
    <row r="60" spans="1:33" x14ac:dyDescent="0.2">
      <c r="B60" s="32" t="s">
        <v>75</v>
      </c>
      <c r="C60" s="32"/>
      <c r="D60" s="33"/>
      <c r="E60" s="32"/>
      <c r="F60" s="34"/>
      <c r="G60" s="32"/>
      <c r="H60" s="33"/>
      <c r="I60" s="32"/>
      <c r="J60" s="49">
        <f>J59/D13</f>
        <v>4.2438808845769236</v>
      </c>
    </row>
    <row r="61" spans="1:33" ht="8.25" customHeight="1" x14ac:dyDescent="0.2">
      <c r="B61" s="32"/>
      <c r="C61" s="32"/>
      <c r="D61" s="33"/>
      <c r="E61" s="32"/>
      <c r="F61" s="34"/>
      <c r="G61" s="32"/>
      <c r="H61" s="42"/>
      <c r="I61" s="32"/>
      <c r="J61" s="49"/>
    </row>
    <row r="62" spans="1:33" s="17" customFormat="1" x14ac:dyDescent="0.2">
      <c r="A62" s="16"/>
      <c r="B62" s="221" t="s">
        <v>76</v>
      </c>
      <c r="C62" s="221"/>
      <c r="D62" s="222"/>
      <c r="E62" s="221"/>
      <c r="F62" s="223"/>
      <c r="G62" s="221"/>
      <c r="H62" s="222"/>
      <c r="I62" s="221"/>
      <c r="J62" s="224">
        <f>J13-J59</f>
        <v>1348.5446682836537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s="84" customFormat="1" ht="37.5" customHeight="1" x14ac:dyDescent="0.25">
      <c r="B63" s="266" t="s">
        <v>216</v>
      </c>
      <c r="C63" s="267"/>
      <c r="D63" s="267"/>
      <c r="E63" s="267"/>
      <c r="F63" s="267"/>
      <c r="G63" s="267"/>
      <c r="H63" s="267"/>
      <c r="I63" s="267"/>
      <c r="J63" s="267"/>
      <c r="K63" s="267"/>
    </row>
    <row r="64" spans="1:33" s="86" customFormat="1" ht="3.75" customHeight="1" x14ac:dyDescent="0.2">
      <c r="B64" s="87"/>
      <c r="C64" s="87"/>
      <c r="D64" s="88"/>
      <c r="E64" s="87"/>
      <c r="F64" s="89"/>
      <c r="G64" s="87"/>
      <c r="H64" s="88"/>
      <c r="I64" s="87"/>
      <c r="J64" s="87"/>
      <c r="K64" s="87"/>
    </row>
    <row r="65" spans="1:33" s="25" customFormat="1" ht="14.25" x14ac:dyDescent="0.2">
      <c r="A65" s="20"/>
      <c r="B65" s="21"/>
      <c r="C65" s="21"/>
      <c r="D65" s="22" t="s">
        <v>50</v>
      </c>
      <c r="E65" s="22"/>
      <c r="F65" s="23"/>
      <c r="G65" s="22"/>
      <c r="H65" s="22" t="s">
        <v>51</v>
      </c>
      <c r="I65" s="22"/>
      <c r="J65" s="24" t="s">
        <v>52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s="25" customFormat="1" ht="14.25" x14ac:dyDescent="0.2">
      <c r="A66" s="20"/>
      <c r="B66" s="26" t="s">
        <v>53</v>
      </c>
      <c r="C66" s="21"/>
      <c r="D66" s="22" t="s">
        <v>54</v>
      </c>
      <c r="E66" s="22"/>
      <c r="F66" s="23" t="s">
        <v>55</v>
      </c>
      <c r="G66" s="22"/>
      <c r="H66" s="22" t="s">
        <v>56</v>
      </c>
      <c r="I66" s="22"/>
      <c r="J66" s="24" t="s">
        <v>57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ht="5.25" customHeight="1" x14ac:dyDescent="0.2">
      <c r="B67" s="27"/>
      <c r="C67" s="13"/>
      <c r="D67" s="27"/>
      <c r="E67" s="13"/>
      <c r="F67" s="28"/>
      <c r="G67" s="13"/>
      <c r="H67" s="27"/>
      <c r="I67" s="13"/>
      <c r="J67" s="29"/>
      <c r="K67" s="30"/>
    </row>
    <row r="68" spans="1:33" s="17" customFormat="1" x14ac:dyDescent="0.2">
      <c r="A68" s="16"/>
      <c r="B68" s="221"/>
      <c r="C68" s="221"/>
      <c r="D68" s="222"/>
      <c r="E68" s="221"/>
      <c r="F68" s="223"/>
      <c r="G68" s="221"/>
      <c r="H68" s="222"/>
      <c r="I68" s="221"/>
      <c r="J68" s="224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x14ac:dyDescent="0.2">
      <c r="B69" s="31" t="s">
        <v>77</v>
      </c>
      <c r="C69" s="32"/>
      <c r="D69" s="33"/>
      <c r="E69" s="32"/>
      <c r="F69" s="34"/>
      <c r="G69" s="32"/>
      <c r="H69" s="33"/>
      <c r="I69" s="32"/>
      <c r="J69" s="49"/>
    </row>
    <row r="70" spans="1:33" x14ac:dyDescent="0.2">
      <c r="B70" s="93" t="s">
        <v>78</v>
      </c>
      <c r="C70" s="32"/>
      <c r="D70" s="45">
        <v>1</v>
      </c>
      <c r="E70" s="32"/>
      <c r="F70" s="46" t="s">
        <v>65</v>
      </c>
      <c r="G70" s="32"/>
      <c r="H70" s="204">
        <f>'T4-T5 Mach. Costs, Small Farm'!$C$53</f>
        <v>30.000000000000007</v>
      </c>
      <c r="I70" s="32"/>
      <c r="J70" s="49">
        <f>D70*H70</f>
        <v>30.000000000000007</v>
      </c>
    </row>
    <row r="71" spans="1:33" x14ac:dyDescent="0.2">
      <c r="B71" s="93" t="s">
        <v>79</v>
      </c>
      <c r="C71" s="32"/>
      <c r="D71" s="45">
        <v>1</v>
      </c>
      <c r="E71" s="32"/>
      <c r="F71" s="46" t="s">
        <v>65</v>
      </c>
      <c r="G71" s="32"/>
      <c r="H71" s="204">
        <f>'T4-T5 Mach. Costs, Small Farm'!$D$53</f>
        <v>29.154000000000003</v>
      </c>
      <c r="I71" s="32"/>
      <c r="J71" s="49">
        <f>D71*H71</f>
        <v>29.154000000000003</v>
      </c>
    </row>
    <row r="72" spans="1:33" x14ac:dyDescent="0.2">
      <c r="B72" s="93" t="s">
        <v>193</v>
      </c>
      <c r="C72" s="32"/>
      <c r="D72" s="45">
        <v>1</v>
      </c>
      <c r="E72" s="32"/>
      <c r="F72" s="46" t="s">
        <v>65</v>
      </c>
      <c r="G72" s="32"/>
      <c r="H72" s="204">
        <f>'T4-T5 Mach. Costs, Small Farm'!$E$53</f>
        <v>13.819999999999999</v>
      </c>
      <c r="I72" s="32"/>
      <c r="J72" s="49">
        <f>D72*H72</f>
        <v>13.819999999999999</v>
      </c>
      <c r="M72" s="245">
        <f>J72+J71+J70</f>
        <v>72.974000000000018</v>
      </c>
    </row>
    <row r="73" spans="1:33" x14ac:dyDescent="0.2">
      <c r="B73" s="44" t="s">
        <v>95</v>
      </c>
      <c r="C73" s="32"/>
      <c r="D73" s="45">
        <v>1</v>
      </c>
      <c r="E73" s="32"/>
      <c r="F73" s="46" t="s">
        <v>65</v>
      </c>
      <c r="G73" s="32"/>
      <c r="H73" s="168">
        <v>250</v>
      </c>
      <c r="I73" s="32"/>
      <c r="J73" s="49">
        <f>+H73</f>
        <v>250</v>
      </c>
    </row>
    <row r="74" spans="1:33" ht="8.25" customHeight="1" x14ac:dyDescent="0.2">
      <c r="B74" s="32"/>
      <c r="C74" s="32"/>
      <c r="D74" s="33"/>
      <c r="E74" s="32"/>
      <c r="F74" s="34"/>
      <c r="G74" s="32"/>
      <c r="H74" s="42"/>
      <c r="I74" s="32"/>
      <c r="J74" s="49"/>
    </row>
    <row r="75" spans="1:33" x14ac:dyDescent="0.2">
      <c r="B75" s="53" t="s">
        <v>80</v>
      </c>
      <c r="C75" s="53"/>
      <c r="D75" s="54"/>
      <c r="E75" s="53"/>
      <c r="F75" s="55"/>
      <c r="G75" s="53"/>
      <c r="H75" s="54"/>
      <c r="I75" s="53"/>
      <c r="J75" s="56">
        <f>SUM(J69:J74)</f>
        <v>322.97399999999999</v>
      </c>
    </row>
    <row r="76" spans="1:33" x14ac:dyDescent="0.2">
      <c r="B76" s="32" t="s">
        <v>81</v>
      </c>
      <c r="C76" s="32"/>
      <c r="D76" s="33"/>
      <c r="E76" s="32"/>
      <c r="F76" s="34"/>
      <c r="G76" s="32"/>
      <c r="H76" s="33"/>
      <c r="I76" s="32"/>
      <c r="J76" s="49">
        <f>J75/D13</f>
        <v>0.86126399999999992</v>
      </c>
    </row>
    <row r="77" spans="1:33" ht="8.25" customHeight="1" x14ac:dyDescent="0.2">
      <c r="B77" s="32"/>
      <c r="C77" s="32"/>
      <c r="D77" s="33"/>
      <c r="E77" s="32"/>
      <c r="F77" s="34"/>
      <c r="G77" s="32"/>
      <c r="H77" s="42"/>
      <c r="I77" s="32"/>
      <c r="J77" s="49"/>
    </row>
    <row r="78" spans="1:33" x14ac:dyDescent="0.2">
      <c r="B78" s="53" t="s">
        <v>82</v>
      </c>
      <c r="C78" s="53"/>
      <c r="D78" s="54"/>
      <c r="E78" s="53"/>
      <c r="F78" s="55"/>
      <c r="G78" s="53"/>
      <c r="H78" s="54"/>
      <c r="I78" s="53"/>
      <c r="J78" s="56">
        <f>J59+J75</f>
        <v>1914.4293317163463</v>
      </c>
    </row>
    <row r="79" spans="1:33" s="15" customFormat="1" x14ac:dyDescent="0.2">
      <c r="A79" s="14"/>
      <c r="B79" s="60" t="s">
        <v>83</v>
      </c>
      <c r="C79" s="60"/>
      <c r="D79" s="61"/>
      <c r="E79" s="60"/>
      <c r="F79" s="62"/>
      <c r="G79" s="60"/>
      <c r="H79" s="61"/>
      <c r="I79" s="60"/>
      <c r="J79" s="49">
        <f>J78/D13</f>
        <v>5.1051448845769229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t="8.25" customHeight="1" x14ac:dyDescent="0.2">
      <c r="B80" s="32"/>
      <c r="C80" s="32"/>
      <c r="D80" s="33"/>
      <c r="E80" s="32"/>
      <c r="F80" s="34"/>
      <c r="G80" s="32"/>
      <c r="H80" s="42"/>
      <c r="I80" s="32"/>
      <c r="J80" s="49"/>
    </row>
    <row r="81" spans="1:33" s="17" customFormat="1" x14ac:dyDescent="0.2">
      <c r="A81" s="16"/>
      <c r="B81" s="53" t="s">
        <v>84</v>
      </c>
      <c r="C81" s="53"/>
      <c r="D81" s="54"/>
      <c r="E81" s="53"/>
      <c r="F81" s="55"/>
      <c r="G81" s="53"/>
      <c r="H81" s="54"/>
      <c r="I81" s="53"/>
      <c r="J81" s="56">
        <f>J13-J78</f>
        <v>1025.5706682836537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ht="8.25" customHeight="1" x14ac:dyDescent="0.2">
      <c r="B82" s="32"/>
      <c r="C82" s="32"/>
      <c r="D82" s="33"/>
      <c r="E82" s="32"/>
      <c r="F82" s="34"/>
      <c r="G82" s="32"/>
      <c r="H82" s="42"/>
      <c r="I82" s="32"/>
      <c r="J82" s="49"/>
    </row>
    <row r="83" spans="1:33" x14ac:dyDescent="0.2">
      <c r="B83" s="63" t="s">
        <v>85</v>
      </c>
      <c r="C83" s="63"/>
      <c r="D83" s="64"/>
      <c r="E83" s="63"/>
      <c r="F83" s="65"/>
      <c r="G83" s="63"/>
      <c r="H83" s="64"/>
      <c r="I83" s="63"/>
      <c r="J83" s="63"/>
      <c r="K83" s="38"/>
    </row>
    <row r="84" spans="1:33" x14ac:dyDescent="0.2">
      <c r="B84" s="262" t="s">
        <v>151</v>
      </c>
      <c r="C84" s="262"/>
      <c r="D84" s="262"/>
      <c r="E84" s="262"/>
      <c r="F84" s="262"/>
      <c r="G84" s="262"/>
      <c r="H84" s="262"/>
      <c r="I84" s="262"/>
      <c r="J84" s="262"/>
    </row>
    <row r="85" spans="1:33" x14ac:dyDescent="0.2">
      <c r="B85" s="262"/>
      <c r="C85" s="262"/>
      <c r="D85" s="262"/>
      <c r="E85" s="262"/>
      <c r="F85" s="262"/>
      <c r="G85" s="262"/>
      <c r="H85" s="262"/>
      <c r="I85" s="262"/>
      <c r="J85" s="262"/>
    </row>
    <row r="86" spans="1:33" x14ac:dyDescent="0.2">
      <c r="B86" s="262"/>
      <c r="C86" s="262"/>
      <c r="D86" s="262"/>
      <c r="E86" s="262"/>
      <c r="F86" s="262"/>
      <c r="G86" s="262"/>
      <c r="H86" s="262"/>
      <c r="I86" s="262"/>
      <c r="J86" s="262"/>
    </row>
    <row r="87" spans="1:33" x14ac:dyDescent="0.2">
      <c r="B87" s="262"/>
      <c r="C87" s="262"/>
      <c r="D87" s="262"/>
      <c r="E87" s="262"/>
      <c r="F87" s="262"/>
      <c r="G87" s="262"/>
      <c r="H87" s="262"/>
      <c r="I87" s="262"/>
      <c r="J87" s="262"/>
    </row>
    <row r="88" spans="1:33" x14ac:dyDescent="0.2">
      <c r="B88" s="262"/>
      <c r="C88" s="262"/>
      <c r="D88" s="262"/>
      <c r="E88" s="262"/>
      <c r="F88" s="262"/>
      <c r="G88" s="262"/>
      <c r="H88" s="262"/>
      <c r="I88" s="262"/>
      <c r="J88" s="262"/>
    </row>
    <row r="89" spans="1:33" x14ac:dyDescent="0.2">
      <c r="B89" s="32"/>
      <c r="C89" s="32"/>
      <c r="D89" s="33"/>
      <c r="E89" s="32"/>
      <c r="F89" s="34"/>
      <c r="G89" s="32"/>
      <c r="H89" s="33"/>
      <c r="I89" s="32"/>
      <c r="J89" s="32"/>
    </row>
    <row r="90" spans="1:33" x14ac:dyDescent="0.2">
      <c r="B90" s="66" t="s">
        <v>86</v>
      </c>
      <c r="C90" s="32"/>
      <c r="D90" s="67" t="s">
        <v>87</v>
      </c>
      <c r="E90" s="32"/>
      <c r="F90" s="34" t="s">
        <v>88</v>
      </c>
      <c r="G90" s="32"/>
      <c r="H90" s="67" t="s">
        <v>89</v>
      </c>
      <c r="I90" s="32"/>
      <c r="J90" s="32"/>
    </row>
    <row r="91" spans="1:33" x14ac:dyDescent="0.2">
      <c r="B91" s="32"/>
      <c r="C91" s="32"/>
      <c r="D91" s="68">
        <v>0.1</v>
      </c>
      <c r="E91" s="32"/>
      <c r="F91" s="34"/>
      <c r="G91" s="32"/>
      <c r="H91" s="68">
        <v>0.1</v>
      </c>
      <c r="I91" s="32"/>
      <c r="J91" s="32"/>
    </row>
    <row r="92" spans="1:33" x14ac:dyDescent="0.2">
      <c r="B92" s="32"/>
      <c r="C92" s="32"/>
      <c r="D92" s="69"/>
      <c r="E92" s="13"/>
      <c r="F92" s="27" t="s">
        <v>90</v>
      </c>
      <c r="G92" s="13"/>
      <c r="H92" s="69"/>
      <c r="I92" s="32"/>
      <c r="J92" s="32"/>
    </row>
    <row r="93" spans="1:33" x14ac:dyDescent="0.2">
      <c r="B93" s="70" t="s">
        <v>91</v>
      </c>
      <c r="C93" s="32"/>
      <c r="D93" s="71">
        <f>F93*(1-D91)</f>
        <v>337.5</v>
      </c>
      <c r="E93" s="72"/>
      <c r="F93" s="73">
        <f>D13</f>
        <v>375</v>
      </c>
      <c r="G93" s="72"/>
      <c r="H93" s="74">
        <f>F93*1.05</f>
        <v>393.75</v>
      </c>
      <c r="I93" s="32"/>
      <c r="J93" s="32"/>
    </row>
    <row r="94" spans="1:33" x14ac:dyDescent="0.2">
      <c r="B94" s="32"/>
      <c r="C94" s="32"/>
      <c r="D94" s="33"/>
      <c r="E94" s="32"/>
      <c r="F94" s="34"/>
      <c r="G94" s="32"/>
      <c r="H94" s="33"/>
      <c r="I94" s="32"/>
      <c r="J94" s="32"/>
    </row>
    <row r="95" spans="1:33" x14ac:dyDescent="0.2">
      <c r="B95" s="32" t="s">
        <v>92</v>
      </c>
      <c r="C95" s="32"/>
      <c r="D95" s="75">
        <f>$J$59/D93</f>
        <v>4.7154232050854707</v>
      </c>
      <c r="E95" s="32"/>
      <c r="F95" s="75">
        <f>$J$59/F93</f>
        <v>4.2438808845769236</v>
      </c>
      <c r="G95" s="32"/>
      <c r="H95" s="75">
        <f>$J$59/H93</f>
        <v>4.0417913186446892</v>
      </c>
      <c r="I95" s="32"/>
      <c r="J95" s="32"/>
    </row>
    <row r="96" spans="1:33" x14ac:dyDescent="0.2">
      <c r="B96" s="32"/>
      <c r="C96" s="32"/>
      <c r="D96" s="33"/>
      <c r="E96" s="32"/>
      <c r="F96" s="34"/>
      <c r="G96" s="32"/>
      <c r="H96" s="33"/>
      <c r="I96" s="32"/>
      <c r="J96" s="32"/>
    </row>
    <row r="97" spans="2:10" x14ac:dyDescent="0.2">
      <c r="B97" s="32" t="s">
        <v>93</v>
      </c>
      <c r="C97" s="32"/>
      <c r="D97" s="75">
        <f>$J$75/D93</f>
        <v>0.95695999999999992</v>
      </c>
      <c r="E97" s="32"/>
      <c r="F97" s="75">
        <f>$J$75/F93</f>
        <v>0.86126399999999992</v>
      </c>
      <c r="G97" s="32"/>
      <c r="H97" s="75">
        <f>$J$75/H93</f>
        <v>0.82025142857142852</v>
      </c>
      <c r="I97" s="32"/>
      <c r="J97" s="32"/>
    </row>
    <row r="98" spans="2:10" x14ac:dyDescent="0.2">
      <c r="B98" s="32"/>
      <c r="C98" s="32"/>
      <c r="D98" s="33"/>
      <c r="E98" s="32"/>
      <c r="F98" s="34"/>
      <c r="G98" s="32"/>
      <c r="H98" s="33"/>
      <c r="I98" s="32"/>
      <c r="J98" s="32"/>
    </row>
    <row r="99" spans="2:10" x14ac:dyDescent="0.2">
      <c r="B99" s="32" t="s">
        <v>94</v>
      </c>
      <c r="C99" s="32"/>
      <c r="D99" s="75">
        <f>$J$78/D93</f>
        <v>5.6723832050854703</v>
      </c>
      <c r="E99" s="32"/>
      <c r="F99" s="75">
        <f>$J$78/F93</f>
        <v>5.1051448845769229</v>
      </c>
      <c r="G99" s="32"/>
      <c r="H99" s="75">
        <f>$J$78/H93</f>
        <v>4.8620427472161172</v>
      </c>
      <c r="I99" s="32"/>
      <c r="J99" s="32"/>
    </row>
    <row r="100" spans="2:10" x14ac:dyDescent="0.2">
      <c r="B100" s="36"/>
      <c r="C100" s="36"/>
      <c r="D100" s="39"/>
      <c r="E100" s="36"/>
      <c r="F100" s="40"/>
      <c r="G100" s="36"/>
      <c r="H100" s="39"/>
      <c r="I100" s="36"/>
      <c r="J100" s="36"/>
    </row>
    <row r="101" spans="2:10" x14ac:dyDescent="0.2">
      <c r="B101" s="32"/>
      <c r="C101" s="32"/>
      <c r="D101" s="33"/>
      <c r="E101" s="32"/>
      <c r="F101" s="34"/>
      <c r="G101" s="32"/>
      <c r="H101" s="33"/>
      <c r="I101" s="32"/>
      <c r="J101" s="32"/>
    </row>
    <row r="102" spans="2:10" x14ac:dyDescent="0.2">
      <c r="B102" s="32"/>
      <c r="C102" s="32"/>
      <c r="D102" s="27"/>
      <c r="E102" s="13"/>
      <c r="F102" s="28" t="s">
        <v>91</v>
      </c>
      <c r="G102" s="13"/>
      <c r="H102" s="27"/>
      <c r="I102" s="32"/>
      <c r="J102" s="32"/>
    </row>
    <row r="103" spans="2:10" x14ac:dyDescent="0.2">
      <c r="B103" s="70" t="s">
        <v>90</v>
      </c>
      <c r="C103" s="32"/>
      <c r="D103" s="76">
        <f>F103*(1-D91)</f>
        <v>7.056</v>
      </c>
      <c r="E103" s="72"/>
      <c r="F103" s="77">
        <f>H13</f>
        <v>7.84</v>
      </c>
      <c r="G103" s="72"/>
      <c r="H103" s="76">
        <f>F103*(1+H91)</f>
        <v>8.6240000000000006</v>
      </c>
      <c r="I103" s="32"/>
      <c r="J103" s="32"/>
    </row>
    <row r="104" spans="2:10" x14ac:dyDescent="0.2">
      <c r="B104" s="32"/>
      <c r="C104" s="32"/>
      <c r="D104" s="33"/>
      <c r="E104" s="32"/>
      <c r="F104" s="34"/>
      <c r="G104" s="32"/>
      <c r="H104" s="33"/>
      <c r="I104" s="32"/>
      <c r="J104" s="32"/>
    </row>
    <row r="105" spans="2:10" x14ac:dyDescent="0.2">
      <c r="B105" s="32" t="s">
        <v>92</v>
      </c>
      <c r="C105" s="32"/>
      <c r="D105" s="78">
        <f>$J$59/D103</f>
        <v>225.54639054936882</v>
      </c>
      <c r="E105" s="32"/>
      <c r="F105" s="78">
        <f>$J$59/F103</f>
        <v>202.99175149443192</v>
      </c>
      <c r="G105" s="32"/>
      <c r="H105" s="78">
        <f>$J$59/H103</f>
        <v>184.53795590402902</v>
      </c>
      <c r="I105" s="32"/>
      <c r="J105" s="32"/>
    </row>
    <row r="106" spans="2:10" x14ac:dyDescent="0.2">
      <c r="B106" s="32"/>
      <c r="C106" s="32"/>
      <c r="D106" s="33"/>
      <c r="E106" s="32"/>
      <c r="F106" s="34"/>
      <c r="G106" s="32"/>
      <c r="H106" s="33"/>
      <c r="I106" s="32"/>
      <c r="J106" s="32"/>
    </row>
    <row r="107" spans="2:10" x14ac:dyDescent="0.2">
      <c r="B107" s="32" t="s">
        <v>93</v>
      </c>
      <c r="C107" s="32"/>
      <c r="D107" s="78">
        <f>$J$75/D103</f>
        <v>45.772959183673464</v>
      </c>
      <c r="E107" s="32"/>
      <c r="F107" s="78">
        <f>$J$75/F103</f>
        <v>41.195663265306123</v>
      </c>
      <c r="G107" s="32"/>
      <c r="H107" s="78">
        <f>$J$75/H103</f>
        <v>37.45060296846011</v>
      </c>
      <c r="I107" s="32"/>
      <c r="J107" s="32"/>
    </row>
    <row r="108" spans="2:10" x14ac:dyDescent="0.2">
      <c r="B108" s="32"/>
      <c r="C108" s="32"/>
      <c r="D108" s="33"/>
      <c r="E108" s="32"/>
      <c r="F108" s="34"/>
      <c r="G108" s="32"/>
      <c r="H108" s="33"/>
      <c r="I108" s="32"/>
      <c r="J108" s="32"/>
    </row>
    <row r="109" spans="2:10" x14ac:dyDescent="0.2">
      <c r="B109" s="32" t="s">
        <v>94</v>
      </c>
      <c r="C109" s="32"/>
      <c r="D109" s="78">
        <f>$J$78/D103</f>
        <v>271.31934973304226</v>
      </c>
      <c r="E109" s="32"/>
      <c r="F109" s="78">
        <f>$J$78/F103</f>
        <v>244.18741475973806</v>
      </c>
      <c r="G109" s="32"/>
      <c r="H109" s="78">
        <f>$J$78/H103</f>
        <v>221.98855887248911</v>
      </c>
      <c r="I109" s="32"/>
      <c r="J109" s="32"/>
    </row>
    <row r="110" spans="2:10" x14ac:dyDescent="0.2">
      <c r="B110" s="32"/>
      <c r="C110" s="32"/>
      <c r="D110" s="33"/>
      <c r="E110" s="32"/>
      <c r="F110" s="34"/>
      <c r="G110" s="32"/>
      <c r="H110" s="33"/>
      <c r="I110" s="32"/>
      <c r="J110" s="32"/>
    </row>
    <row r="111" spans="2:10" x14ac:dyDescent="0.2">
      <c r="B111" s="13"/>
      <c r="C111" s="13"/>
      <c r="D111" s="27"/>
      <c r="E111" s="13"/>
      <c r="F111" s="28"/>
      <c r="G111" s="13"/>
      <c r="H111" s="27"/>
      <c r="I111" s="13"/>
      <c r="J111" s="13"/>
    </row>
    <row r="112" spans="2:10" s="8" customFormat="1" x14ac:dyDescent="0.2">
      <c r="D112" s="18"/>
      <c r="F112" s="19"/>
      <c r="H112" s="18"/>
    </row>
    <row r="113" spans="4:8" s="8" customFormat="1" x14ac:dyDescent="0.2">
      <c r="D113" s="18"/>
      <c r="F113" s="19"/>
      <c r="H113" s="18"/>
    </row>
    <row r="114" spans="4:8" s="8" customFormat="1" x14ac:dyDescent="0.2">
      <c r="D114" s="18"/>
      <c r="F114" s="19"/>
      <c r="H114" s="18"/>
    </row>
    <row r="115" spans="4:8" s="8" customFormat="1" x14ac:dyDescent="0.2">
      <c r="D115" s="18"/>
      <c r="F115" s="19"/>
      <c r="H115" s="18"/>
    </row>
    <row r="116" spans="4:8" s="8" customFormat="1" x14ac:dyDescent="0.2">
      <c r="D116" s="18"/>
      <c r="F116" s="19"/>
      <c r="H116" s="18"/>
    </row>
    <row r="117" spans="4:8" s="8" customFormat="1" x14ac:dyDescent="0.2">
      <c r="D117" s="18"/>
      <c r="F117" s="19"/>
      <c r="H117" s="18"/>
    </row>
    <row r="118" spans="4:8" s="8" customFormat="1" x14ac:dyDescent="0.2">
      <c r="D118" s="18"/>
      <c r="F118" s="19"/>
      <c r="H118" s="18"/>
    </row>
    <row r="119" spans="4:8" s="8" customFormat="1" x14ac:dyDescent="0.2">
      <c r="D119" s="18"/>
      <c r="F119" s="19"/>
      <c r="H119" s="18"/>
    </row>
    <row r="120" spans="4:8" s="8" customFormat="1" x14ac:dyDescent="0.2">
      <c r="D120" s="18"/>
      <c r="F120" s="19"/>
      <c r="H120" s="18"/>
    </row>
    <row r="121" spans="4:8" s="8" customFormat="1" x14ac:dyDescent="0.2">
      <c r="D121" s="18"/>
      <c r="F121" s="19"/>
      <c r="H121" s="18"/>
    </row>
    <row r="122" spans="4:8" s="8" customFormat="1" x14ac:dyDescent="0.2">
      <c r="D122" s="18"/>
      <c r="F122" s="19"/>
      <c r="H122" s="18"/>
    </row>
    <row r="123" spans="4:8" s="8" customFormat="1" x14ac:dyDescent="0.2">
      <c r="D123" s="18"/>
      <c r="F123" s="19"/>
      <c r="H123" s="18"/>
    </row>
    <row r="124" spans="4:8" s="8" customFormat="1" x14ac:dyDescent="0.2">
      <c r="D124" s="18"/>
      <c r="F124" s="19"/>
      <c r="H124" s="18"/>
    </row>
    <row r="125" spans="4:8" s="8" customFormat="1" x14ac:dyDescent="0.2">
      <c r="D125" s="18"/>
      <c r="F125" s="19"/>
      <c r="H125" s="18"/>
    </row>
    <row r="126" spans="4:8" s="8" customFormat="1" x14ac:dyDescent="0.2">
      <c r="D126" s="18"/>
      <c r="F126" s="19"/>
      <c r="H126" s="18"/>
    </row>
    <row r="127" spans="4:8" s="8" customFormat="1" x14ac:dyDescent="0.2">
      <c r="D127" s="18"/>
      <c r="F127" s="19"/>
      <c r="H127" s="18"/>
    </row>
    <row r="128" spans="4:8" s="8" customFormat="1" x14ac:dyDescent="0.2">
      <c r="D128" s="18"/>
      <c r="F128" s="19"/>
      <c r="H128" s="18"/>
    </row>
    <row r="129" spans="4:8" s="8" customFormat="1" x14ac:dyDescent="0.2">
      <c r="D129" s="18"/>
      <c r="F129" s="19"/>
      <c r="H129" s="18"/>
    </row>
    <row r="130" spans="4:8" s="8" customFormat="1" x14ac:dyDescent="0.2">
      <c r="D130" s="18"/>
      <c r="F130" s="19"/>
      <c r="H130" s="18"/>
    </row>
    <row r="131" spans="4:8" s="8" customFormat="1" x14ac:dyDescent="0.2">
      <c r="D131" s="18"/>
      <c r="F131" s="19"/>
      <c r="H131" s="18"/>
    </row>
    <row r="132" spans="4:8" s="8" customFormat="1" x14ac:dyDescent="0.2">
      <c r="D132" s="18"/>
      <c r="F132" s="19"/>
      <c r="H132" s="18"/>
    </row>
    <row r="133" spans="4:8" s="8" customFormat="1" x14ac:dyDescent="0.2">
      <c r="D133" s="18"/>
      <c r="F133" s="19"/>
      <c r="H133" s="18"/>
    </row>
    <row r="134" spans="4:8" s="8" customFormat="1" x14ac:dyDescent="0.2">
      <c r="D134" s="18"/>
      <c r="F134" s="19"/>
      <c r="H134" s="18"/>
    </row>
    <row r="135" spans="4:8" s="8" customFormat="1" x14ac:dyDescent="0.2">
      <c r="D135" s="18"/>
      <c r="F135" s="19"/>
      <c r="H135" s="18"/>
    </row>
    <row r="136" spans="4:8" s="8" customFormat="1" x14ac:dyDescent="0.2">
      <c r="D136" s="18"/>
      <c r="F136" s="19"/>
      <c r="H136" s="18"/>
    </row>
    <row r="137" spans="4:8" s="8" customFormat="1" x14ac:dyDescent="0.2">
      <c r="D137" s="18"/>
      <c r="F137" s="19"/>
      <c r="H137" s="18"/>
    </row>
    <row r="138" spans="4:8" s="8" customFormat="1" x14ac:dyDescent="0.2">
      <c r="D138" s="18"/>
      <c r="F138" s="19"/>
      <c r="H138" s="18"/>
    </row>
    <row r="139" spans="4:8" s="8" customFormat="1" x14ac:dyDescent="0.2">
      <c r="D139" s="18"/>
      <c r="F139" s="19"/>
      <c r="H139" s="18"/>
    </row>
    <row r="140" spans="4:8" s="8" customFormat="1" x14ac:dyDescent="0.2">
      <c r="D140" s="18"/>
      <c r="F140" s="19"/>
      <c r="H140" s="18"/>
    </row>
    <row r="141" spans="4:8" s="8" customFormat="1" x14ac:dyDescent="0.2">
      <c r="D141" s="18"/>
      <c r="F141" s="19"/>
      <c r="H141" s="18"/>
    </row>
    <row r="142" spans="4:8" s="8" customFormat="1" x14ac:dyDescent="0.2">
      <c r="D142" s="18"/>
      <c r="F142" s="19"/>
      <c r="H142" s="18"/>
    </row>
    <row r="143" spans="4:8" s="8" customFormat="1" x14ac:dyDescent="0.2">
      <c r="D143" s="18"/>
      <c r="F143" s="19"/>
      <c r="H143" s="18"/>
    </row>
    <row r="144" spans="4:8" s="8" customFormat="1" x14ac:dyDescent="0.2">
      <c r="D144" s="18"/>
      <c r="F144" s="19"/>
      <c r="H144" s="18"/>
    </row>
    <row r="145" spans="4:8" s="8" customFormat="1" x14ac:dyDescent="0.2">
      <c r="D145" s="18"/>
      <c r="F145" s="19"/>
      <c r="H145" s="18"/>
    </row>
    <row r="146" spans="4:8" s="8" customFormat="1" x14ac:dyDescent="0.2">
      <c r="D146" s="18"/>
      <c r="F146" s="19"/>
      <c r="H146" s="18"/>
    </row>
    <row r="147" spans="4:8" s="8" customFormat="1" x14ac:dyDescent="0.2">
      <c r="D147" s="18"/>
      <c r="F147" s="19"/>
      <c r="H147" s="18"/>
    </row>
    <row r="148" spans="4:8" s="8" customFormat="1" x14ac:dyDescent="0.2">
      <c r="D148" s="18"/>
      <c r="F148" s="19"/>
      <c r="H148" s="18"/>
    </row>
    <row r="149" spans="4:8" s="8" customFormat="1" x14ac:dyDescent="0.2">
      <c r="D149" s="18"/>
      <c r="F149" s="19"/>
      <c r="H149" s="18"/>
    </row>
    <row r="150" spans="4:8" s="8" customFormat="1" x14ac:dyDescent="0.2">
      <c r="D150" s="18"/>
      <c r="F150" s="19"/>
      <c r="H150" s="18"/>
    </row>
    <row r="151" spans="4:8" s="8" customFormat="1" x14ac:dyDescent="0.2">
      <c r="D151" s="18"/>
      <c r="F151" s="19"/>
      <c r="H151" s="18"/>
    </row>
    <row r="152" spans="4:8" s="8" customFormat="1" x14ac:dyDescent="0.2">
      <c r="D152" s="18"/>
      <c r="F152" s="19"/>
      <c r="H152" s="18"/>
    </row>
    <row r="153" spans="4:8" s="8" customFormat="1" x14ac:dyDescent="0.2">
      <c r="D153" s="18"/>
      <c r="F153" s="19"/>
      <c r="H153" s="18"/>
    </row>
    <row r="154" spans="4:8" s="8" customFormat="1" x14ac:dyDescent="0.2">
      <c r="D154" s="18"/>
      <c r="F154" s="19"/>
      <c r="H154" s="18"/>
    </row>
    <row r="155" spans="4:8" s="8" customFormat="1" x14ac:dyDescent="0.2">
      <c r="D155" s="18"/>
      <c r="F155" s="19"/>
      <c r="H155" s="18"/>
    </row>
    <row r="156" spans="4:8" s="8" customFormat="1" x14ac:dyDescent="0.2">
      <c r="D156" s="18"/>
      <c r="F156" s="19"/>
      <c r="H156" s="18"/>
    </row>
    <row r="157" spans="4:8" s="8" customFormat="1" x14ac:dyDescent="0.2">
      <c r="D157" s="18"/>
      <c r="F157" s="19"/>
      <c r="H157" s="18"/>
    </row>
    <row r="158" spans="4:8" s="8" customFormat="1" x14ac:dyDescent="0.2">
      <c r="D158" s="18"/>
      <c r="F158" s="19"/>
      <c r="H158" s="18"/>
    </row>
  </sheetData>
  <mergeCells count="4">
    <mergeCell ref="B84:J88"/>
    <mergeCell ref="B7:K7"/>
    <mergeCell ref="M13:Q13"/>
    <mergeCell ref="B63:K63"/>
  </mergeCells>
  <pageMargins left="0.7" right="0.7" top="0.75" bottom="0.75" header="0.3" footer="0.3"/>
  <pageSetup scale="94" fitToHeight="2" orientation="portrait" r:id="rId1"/>
  <rowBreaks count="1" manualBreakCount="1">
    <brk id="62" min="1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AD93"/>
  <sheetViews>
    <sheetView zoomScaleNormal="100" workbookViewId="0">
      <selection activeCell="B31" sqref="B31"/>
    </sheetView>
  </sheetViews>
  <sheetFormatPr defaultColWidth="8.7109375" defaultRowHeight="12.75" x14ac:dyDescent="0.2"/>
  <cols>
    <col min="1" max="1" width="3.7109375" style="8" customWidth="1"/>
    <col min="2" max="2" width="30.5703125" customWidth="1"/>
    <col min="3" max="3" width="12" customWidth="1"/>
    <col min="4" max="4" width="10.7109375" customWidth="1"/>
    <col min="5" max="15" width="8.7109375" customWidth="1"/>
    <col min="16" max="16" width="15.85546875" customWidth="1"/>
    <col min="17" max="29" width="8.7109375" style="8" customWidth="1"/>
  </cols>
  <sheetData>
    <row r="1" spans="2:16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2:16" s="98" customFormat="1" ht="27" customHeight="1" x14ac:dyDescent="0.2">
      <c r="B2" s="271" t="s">
        <v>259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2:16" x14ac:dyDescent="0.2">
      <c r="B3" s="143"/>
      <c r="C3" s="139"/>
      <c r="D3" s="139"/>
      <c r="E3" s="139"/>
      <c r="F3" s="139"/>
      <c r="G3" s="139"/>
      <c r="H3" s="140" t="s">
        <v>9</v>
      </c>
      <c r="I3" s="139"/>
      <c r="J3" s="139" t="s">
        <v>10</v>
      </c>
      <c r="K3" s="139"/>
      <c r="L3" s="144"/>
      <c r="M3" s="8"/>
      <c r="N3" s="8"/>
      <c r="O3" s="8"/>
      <c r="P3" s="8"/>
    </row>
    <row r="4" spans="2:16" x14ac:dyDescent="0.2">
      <c r="B4" s="145"/>
      <c r="C4" s="9"/>
      <c r="D4" s="9"/>
      <c r="E4" s="9"/>
      <c r="F4" s="10" t="s">
        <v>11</v>
      </c>
      <c r="G4" s="9"/>
      <c r="H4" s="10" t="s">
        <v>12</v>
      </c>
      <c r="I4" s="10" t="s">
        <v>13</v>
      </c>
      <c r="J4" s="10" t="s">
        <v>14</v>
      </c>
      <c r="K4" s="9"/>
      <c r="L4" s="146"/>
      <c r="M4" s="8"/>
      <c r="N4" s="8"/>
      <c r="O4" s="8"/>
      <c r="P4" s="8"/>
    </row>
    <row r="5" spans="2:16" x14ac:dyDescent="0.2">
      <c r="B5" s="147" t="s">
        <v>15</v>
      </c>
      <c r="C5" s="10" t="s">
        <v>16</v>
      </c>
      <c r="D5" s="9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48" t="s">
        <v>25</v>
      </c>
      <c r="M5" s="8"/>
      <c r="N5" s="8"/>
      <c r="O5" s="8"/>
      <c r="P5" s="8"/>
    </row>
    <row r="6" spans="2:16" x14ac:dyDescent="0.2">
      <c r="B6" s="149" t="s">
        <v>26</v>
      </c>
      <c r="C6" s="141" t="s">
        <v>27</v>
      </c>
      <c r="D6" s="142" t="s">
        <v>28</v>
      </c>
      <c r="E6" s="141" t="s">
        <v>29</v>
      </c>
      <c r="F6" s="141" t="s">
        <v>30</v>
      </c>
      <c r="G6" s="141" t="s">
        <v>27</v>
      </c>
      <c r="H6" s="141" t="s">
        <v>31</v>
      </c>
      <c r="I6" s="141" t="s">
        <v>32</v>
      </c>
      <c r="J6" s="141" t="s">
        <v>33</v>
      </c>
      <c r="K6" s="141" t="s">
        <v>34</v>
      </c>
      <c r="L6" s="150" t="s">
        <v>35</v>
      </c>
      <c r="M6" s="8"/>
      <c r="N6" s="8"/>
      <c r="O6" s="8"/>
      <c r="P6" s="8"/>
    </row>
    <row r="7" spans="2:16" ht="15" customHeight="1" x14ac:dyDescent="0.2">
      <c r="B7" s="124" t="s">
        <v>36</v>
      </c>
      <c r="C7" s="125"/>
      <c r="D7" s="125"/>
      <c r="E7" s="125"/>
      <c r="F7" s="125"/>
      <c r="G7" s="125"/>
      <c r="H7" s="125"/>
      <c r="I7" s="125"/>
      <c r="J7" s="125"/>
      <c r="K7" s="125"/>
      <c r="L7" s="126"/>
      <c r="M7" s="8"/>
      <c r="N7" s="8"/>
      <c r="O7" s="8"/>
      <c r="P7" s="8"/>
    </row>
    <row r="8" spans="2:16" ht="15" customHeight="1" x14ac:dyDescent="0.2">
      <c r="B8" s="127" t="s">
        <v>158</v>
      </c>
      <c r="C8" s="128">
        <v>10000</v>
      </c>
      <c r="D8" s="182">
        <v>15</v>
      </c>
      <c r="E8" s="182">
        <v>25</v>
      </c>
      <c r="F8" s="183">
        <v>150</v>
      </c>
      <c r="G8" s="184">
        <v>2500</v>
      </c>
      <c r="H8" s="184">
        <v>1000</v>
      </c>
      <c r="I8" s="183">
        <v>1.2</v>
      </c>
      <c r="J8" s="185">
        <v>1.2</v>
      </c>
      <c r="K8" s="183">
        <v>1.1000000000000001</v>
      </c>
      <c r="L8" s="183"/>
      <c r="M8" s="8"/>
      <c r="N8" s="8"/>
      <c r="O8" s="8"/>
      <c r="P8" s="8"/>
    </row>
    <row r="9" spans="2:16" ht="15" customHeight="1" x14ac:dyDescent="0.2">
      <c r="B9" s="127" t="s">
        <v>160</v>
      </c>
      <c r="C9" s="128">
        <v>35000</v>
      </c>
      <c r="D9" s="182">
        <v>12</v>
      </c>
      <c r="E9" s="182">
        <v>25</v>
      </c>
      <c r="F9" s="183">
        <v>350</v>
      </c>
      <c r="G9" s="184">
        <v>4000</v>
      </c>
      <c r="H9" s="184">
        <v>2000</v>
      </c>
      <c r="I9" s="183">
        <v>6.5</v>
      </c>
      <c r="J9" s="185">
        <v>1.2</v>
      </c>
      <c r="K9" s="183">
        <v>1.1000000000000001</v>
      </c>
      <c r="L9" s="183"/>
      <c r="M9" s="8"/>
      <c r="N9" s="8"/>
      <c r="O9" s="8"/>
      <c r="P9" s="119"/>
    </row>
    <row r="10" spans="2:16" x14ac:dyDescent="0.2">
      <c r="B10" s="127" t="s">
        <v>37</v>
      </c>
      <c r="C10" s="128">
        <v>7320</v>
      </c>
      <c r="D10" s="182">
        <v>0</v>
      </c>
      <c r="E10" s="182">
        <v>15</v>
      </c>
      <c r="F10" s="183">
        <v>100</v>
      </c>
      <c r="G10" s="128">
        <v>1000</v>
      </c>
      <c r="H10" s="128">
        <v>750</v>
      </c>
      <c r="I10" s="183">
        <v>12</v>
      </c>
      <c r="J10" s="185">
        <v>6.8</v>
      </c>
      <c r="K10" s="183">
        <v>1.2</v>
      </c>
      <c r="L10" s="183"/>
      <c r="M10" s="8"/>
      <c r="N10" s="8"/>
      <c r="O10" s="8"/>
      <c r="P10" s="8"/>
    </row>
    <row r="11" spans="2:16" ht="15" customHeight="1" x14ac:dyDescent="0.2">
      <c r="B11" s="124" t="s">
        <v>45</v>
      </c>
      <c r="C11" s="186"/>
      <c r="D11" s="186"/>
      <c r="E11" s="186"/>
      <c r="F11" s="186"/>
      <c r="G11" s="186"/>
      <c r="H11" s="186"/>
      <c r="I11" s="186"/>
      <c r="J11" s="187"/>
      <c r="K11" s="186"/>
      <c r="L11" s="188"/>
      <c r="M11" s="8"/>
      <c r="N11" s="8"/>
      <c r="O11" s="8"/>
      <c r="P11" s="8"/>
    </row>
    <row r="12" spans="2:16" ht="15" customHeight="1" x14ac:dyDescent="0.2">
      <c r="B12" s="127" t="s">
        <v>159</v>
      </c>
      <c r="C12" s="128">
        <v>2000</v>
      </c>
      <c r="D12" s="182">
        <v>15</v>
      </c>
      <c r="E12" s="182">
        <v>25</v>
      </c>
      <c r="F12" s="183">
        <v>150</v>
      </c>
      <c r="G12" s="128">
        <v>100</v>
      </c>
      <c r="H12" s="128">
        <v>300</v>
      </c>
      <c r="I12" s="183">
        <v>6.5</v>
      </c>
      <c r="J12" s="185">
        <v>0.6</v>
      </c>
      <c r="K12" s="183">
        <v>1.1000000000000001</v>
      </c>
      <c r="L12" s="183">
        <v>7</v>
      </c>
      <c r="M12" s="8"/>
      <c r="N12" s="8"/>
      <c r="O12" s="8"/>
      <c r="P12" s="8"/>
    </row>
    <row r="13" spans="2:16" ht="15" customHeight="1" x14ac:dyDescent="0.2">
      <c r="B13" s="127" t="s">
        <v>177</v>
      </c>
      <c r="C13" s="128">
        <v>6500</v>
      </c>
      <c r="D13" s="182">
        <v>15</v>
      </c>
      <c r="E13" s="182">
        <v>25</v>
      </c>
      <c r="F13" s="183">
        <v>150</v>
      </c>
      <c r="G13" s="128">
        <v>750</v>
      </c>
      <c r="H13" s="128">
        <v>500</v>
      </c>
      <c r="I13" s="183">
        <v>7.5</v>
      </c>
      <c r="J13" s="185">
        <v>0.6</v>
      </c>
      <c r="K13" s="183">
        <v>1.1000000000000001</v>
      </c>
      <c r="L13" s="183">
        <v>4</v>
      </c>
      <c r="M13" s="8"/>
      <c r="N13" s="8"/>
      <c r="O13" s="8"/>
      <c r="P13" s="8"/>
    </row>
    <row r="14" spans="2:16" ht="15" customHeight="1" x14ac:dyDescent="0.2">
      <c r="B14" s="127" t="s">
        <v>178</v>
      </c>
      <c r="C14" s="128">
        <v>3500</v>
      </c>
      <c r="D14" s="182">
        <v>15</v>
      </c>
      <c r="E14" s="182">
        <v>25</v>
      </c>
      <c r="F14" s="183">
        <v>150</v>
      </c>
      <c r="G14" s="128">
        <v>500</v>
      </c>
      <c r="H14" s="128">
        <v>500</v>
      </c>
      <c r="I14" s="183">
        <v>7</v>
      </c>
      <c r="J14" s="185">
        <v>0.6</v>
      </c>
      <c r="K14" s="183">
        <v>1.1000000000000001</v>
      </c>
      <c r="L14" s="183">
        <v>7</v>
      </c>
      <c r="M14" s="8"/>
      <c r="N14" s="8"/>
      <c r="O14" s="8"/>
      <c r="P14" s="8"/>
    </row>
    <row r="15" spans="2:16" ht="15" customHeight="1" x14ac:dyDescent="0.2">
      <c r="B15" s="127" t="s">
        <v>229</v>
      </c>
      <c r="C15" s="128">
        <v>8000</v>
      </c>
      <c r="D15" s="182">
        <v>15</v>
      </c>
      <c r="E15" s="182">
        <v>25</v>
      </c>
      <c r="F15" s="183">
        <v>20</v>
      </c>
      <c r="G15" s="128">
        <v>200</v>
      </c>
      <c r="H15" s="128">
        <v>3000</v>
      </c>
      <c r="I15" s="183">
        <v>7</v>
      </c>
      <c r="J15" s="185">
        <v>3</v>
      </c>
      <c r="K15" s="183">
        <v>1.2</v>
      </c>
      <c r="L15" s="183">
        <v>5</v>
      </c>
      <c r="M15" s="8"/>
      <c r="N15" s="8"/>
      <c r="O15" s="8"/>
      <c r="P15" s="8"/>
    </row>
    <row r="16" spans="2:16" ht="15" customHeight="1" x14ac:dyDescent="0.2">
      <c r="B16" s="127" t="s">
        <v>179</v>
      </c>
      <c r="C16" s="128">
        <v>2000</v>
      </c>
      <c r="D16" s="182">
        <v>15</v>
      </c>
      <c r="E16" s="182">
        <v>25</v>
      </c>
      <c r="F16" s="183">
        <v>150</v>
      </c>
      <c r="G16" s="128">
        <v>100</v>
      </c>
      <c r="H16" s="128">
        <v>500</v>
      </c>
      <c r="I16" s="183">
        <v>6.5</v>
      </c>
      <c r="J16" s="185">
        <v>0.6</v>
      </c>
      <c r="K16" s="183">
        <v>1.1000000000000001</v>
      </c>
      <c r="L16" s="183">
        <v>10.5</v>
      </c>
      <c r="M16" s="8"/>
      <c r="N16" s="8"/>
      <c r="O16" s="8"/>
      <c r="P16" s="8"/>
    </row>
    <row r="17" spans="1:16" ht="15" customHeight="1" x14ac:dyDescent="0.2">
      <c r="B17" s="127" t="s">
        <v>180</v>
      </c>
      <c r="C17" s="128">
        <v>2500</v>
      </c>
      <c r="D17" s="182">
        <v>15</v>
      </c>
      <c r="E17" s="182">
        <v>25</v>
      </c>
      <c r="F17" s="183">
        <v>150</v>
      </c>
      <c r="G17" s="128">
        <v>100</v>
      </c>
      <c r="H17" s="128">
        <v>500</v>
      </c>
      <c r="I17" s="183">
        <v>6.5</v>
      </c>
      <c r="J17" s="185">
        <v>0.6</v>
      </c>
      <c r="K17" s="183">
        <v>1.1000000000000001</v>
      </c>
      <c r="L17" s="183">
        <v>5</v>
      </c>
      <c r="M17" s="1"/>
      <c r="N17" s="8"/>
      <c r="O17" s="8"/>
      <c r="P17" s="8"/>
    </row>
    <row r="18" spans="1:16" ht="15" customHeight="1" x14ac:dyDescent="0.2">
      <c r="B18" s="127" t="s">
        <v>230</v>
      </c>
      <c r="C18" s="128">
        <v>5000</v>
      </c>
      <c r="D18" s="182">
        <v>15</v>
      </c>
      <c r="E18" s="182">
        <v>25</v>
      </c>
      <c r="F18" s="183">
        <v>50</v>
      </c>
      <c r="G18" s="128">
        <v>500</v>
      </c>
      <c r="H18" s="128">
        <v>1000</v>
      </c>
      <c r="I18" s="183">
        <v>7</v>
      </c>
      <c r="J18" s="185">
        <v>0.6</v>
      </c>
      <c r="K18" s="183">
        <v>1.1000000000000001</v>
      </c>
      <c r="L18" s="183">
        <v>6</v>
      </c>
      <c r="M18" s="8"/>
      <c r="N18" s="8"/>
      <c r="O18" s="8"/>
      <c r="P18" s="8"/>
    </row>
    <row r="19" spans="1:16" ht="15" customHeight="1" x14ac:dyDescent="0.2">
      <c r="B19" s="127" t="s">
        <v>181</v>
      </c>
      <c r="C19" s="128">
        <v>4000</v>
      </c>
      <c r="D19" s="182">
        <v>15</v>
      </c>
      <c r="E19" s="182">
        <v>25</v>
      </c>
      <c r="F19" s="183">
        <v>50</v>
      </c>
      <c r="G19" s="128">
        <v>400</v>
      </c>
      <c r="H19" s="128">
        <v>750</v>
      </c>
      <c r="I19" s="183">
        <v>7</v>
      </c>
      <c r="J19" s="185">
        <v>0.6</v>
      </c>
      <c r="K19" s="183">
        <v>1.1000000000000001</v>
      </c>
      <c r="L19" s="183">
        <v>8</v>
      </c>
      <c r="M19" s="8"/>
      <c r="N19" s="8"/>
      <c r="O19" s="8"/>
      <c r="P19" s="8"/>
    </row>
    <row r="20" spans="1:16" ht="15" customHeight="1" x14ac:dyDescent="0.2">
      <c r="B20" s="127" t="s">
        <v>182</v>
      </c>
      <c r="C20" s="128">
        <v>3000</v>
      </c>
      <c r="D20" s="182">
        <v>15</v>
      </c>
      <c r="E20" s="182">
        <v>25</v>
      </c>
      <c r="F20" s="183">
        <v>40</v>
      </c>
      <c r="G20" s="128">
        <v>0</v>
      </c>
      <c r="H20" s="128">
        <v>1000</v>
      </c>
      <c r="I20" s="183">
        <v>8</v>
      </c>
      <c r="J20" s="185">
        <v>1.7</v>
      </c>
      <c r="K20" s="183">
        <v>1.3</v>
      </c>
      <c r="L20" s="183">
        <v>3</v>
      </c>
      <c r="M20" s="8"/>
      <c r="N20" s="8"/>
      <c r="O20" s="8"/>
      <c r="P20" s="8"/>
    </row>
    <row r="21" spans="1:16" ht="15" customHeight="1" x14ac:dyDescent="0.2">
      <c r="B21" s="127" t="s">
        <v>183</v>
      </c>
      <c r="C21" s="128">
        <v>5000</v>
      </c>
      <c r="D21" s="182">
        <v>15</v>
      </c>
      <c r="E21" s="182">
        <v>25</v>
      </c>
      <c r="F21" s="183">
        <v>40</v>
      </c>
      <c r="G21" s="128">
        <v>0</v>
      </c>
      <c r="H21" s="128">
        <v>1000</v>
      </c>
      <c r="I21" s="183">
        <v>7.5</v>
      </c>
      <c r="J21" s="185">
        <v>2</v>
      </c>
      <c r="K21" s="183">
        <v>1.3</v>
      </c>
      <c r="L21" s="183">
        <v>1</v>
      </c>
      <c r="M21" s="8"/>
      <c r="N21" s="8"/>
      <c r="O21" s="8"/>
      <c r="P21" s="8"/>
    </row>
    <row r="22" spans="1:16" ht="15" customHeight="1" x14ac:dyDescent="0.2">
      <c r="B22" s="127"/>
      <c r="C22" s="128"/>
      <c r="D22" s="182"/>
      <c r="E22" s="182"/>
      <c r="F22" s="183"/>
      <c r="G22" s="128"/>
      <c r="H22" s="128"/>
      <c r="I22" s="183"/>
      <c r="J22" s="185"/>
      <c r="K22" s="183"/>
      <c r="L22" s="183"/>
      <c r="M22" s="8"/>
      <c r="N22" s="8"/>
      <c r="O22" s="8"/>
      <c r="P22" s="8"/>
    </row>
    <row r="23" spans="1:16" ht="15" customHeight="1" x14ac:dyDescent="0.2">
      <c r="B23" s="134" t="s">
        <v>38</v>
      </c>
      <c r="C23" s="189"/>
      <c r="D23" s="190"/>
      <c r="E23" s="190"/>
      <c r="F23" s="189" t="s">
        <v>39</v>
      </c>
      <c r="G23" s="189"/>
      <c r="H23" s="189"/>
      <c r="I23" s="189" t="s">
        <v>40</v>
      </c>
      <c r="J23" s="191"/>
      <c r="K23" s="189"/>
      <c r="L23" s="192"/>
      <c r="M23" s="8"/>
      <c r="N23" s="8"/>
      <c r="O23" s="8"/>
      <c r="P23" s="8"/>
    </row>
    <row r="24" spans="1:16" ht="15" customHeight="1" x14ac:dyDescent="0.2">
      <c r="B24" s="127" t="s">
        <v>205</v>
      </c>
      <c r="C24" s="128">
        <v>20000</v>
      </c>
      <c r="D24" s="182">
        <v>15</v>
      </c>
      <c r="E24" s="182">
        <v>15</v>
      </c>
      <c r="F24" s="183">
        <v>1000</v>
      </c>
      <c r="G24" s="128">
        <v>5000</v>
      </c>
      <c r="H24" s="128">
        <v>2000</v>
      </c>
      <c r="I24" s="183">
        <v>6</v>
      </c>
      <c r="J24" s="185">
        <v>10.1</v>
      </c>
      <c r="K24" s="183">
        <v>1.2</v>
      </c>
      <c r="L24" s="183"/>
      <c r="M24" s="8"/>
      <c r="N24" s="8"/>
      <c r="O24" s="8"/>
      <c r="P24" s="8"/>
    </row>
    <row r="25" spans="1:16" ht="15" customHeight="1" x14ac:dyDescent="0.2">
      <c r="B25" s="127" t="s">
        <v>205</v>
      </c>
      <c r="C25" s="128">
        <v>20000</v>
      </c>
      <c r="D25" s="182">
        <v>15</v>
      </c>
      <c r="E25" s="182">
        <v>15</v>
      </c>
      <c r="F25" s="183">
        <v>1000</v>
      </c>
      <c r="G25" s="128">
        <v>5000</v>
      </c>
      <c r="H25" s="128">
        <v>2000</v>
      </c>
      <c r="I25" s="183">
        <v>6</v>
      </c>
      <c r="J25" s="185">
        <v>10.1</v>
      </c>
      <c r="K25" s="183">
        <v>1.2</v>
      </c>
      <c r="L25" s="183"/>
      <c r="M25" s="8"/>
      <c r="N25" s="8"/>
      <c r="O25" s="8"/>
      <c r="P25" s="8"/>
    </row>
    <row r="26" spans="1:16" ht="15" customHeight="1" x14ac:dyDescent="0.2">
      <c r="B26" s="127" t="s">
        <v>205</v>
      </c>
      <c r="C26" s="128">
        <v>20000</v>
      </c>
      <c r="D26" s="182">
        <v>15</v>
      </c>
      <c r="E26" s="182">
        <v>15</v>
      </c>
      <c r="F26" s="183">
        <v>1000</v>
      </c>
      <c r="G26" s="128">
        <v>5000</v>
      </c>
      <c r="H26" s="128">
        <v>2000</v>
      </c>
      <c r="I26" s="183">
        <v>6</v>
      </c>
      <c r="J26" s="185">
        <v>10.1</v>
      </c>
      <c r="K26" s="183">
        <v>1.2</v>
      </c>
      <c r="L26" s="183"/>
      <c r="M26" s="8"/>
      <c r="N26" s="8"/>
      <c r="O26" s="8"/>
      <c r="P26" s="8"/>
    </row>
    <row r="27" spans="1:16" x14ac:dyDescent="0.2">
      <c r="B27" s="127" t="s">
        <v>245</v>
      </c>
      <c r="C27" s="128">
        <v>15000</v>
      </c>
      <c r="D27" s="182">
        <v>7</v>
      </c>
      <c r="E27" s="182">
        <v>7</v>
      </c>
      <c r="F27" s="183">
        <v>12000</v>
      </c>
      <c r="G27" s="128">
        <v>3500</v>
      </c>
      <c r="H27" s="128">
        <v>750</v>
      </c>
      <c r="I27" s="183">
        <v>12</v>
      </c>
      <c r="J27" s="185">
        <v>6.8</v>
      </c>
      <c r="K27" s="183">
        <v>1.2</v>
      </c>
      <c r="L27" s="183"/>
      <c r="M27" s="8"/>
      <c r="N27" s="8"/>
      <c r="O27" s="8"/>
      <c r="P27" s="8"/>
    </row>
    <row r="28" spans="1:16" x14ac:dyDescent="0.2">
      <c r="B28" s="127" t="s">
        <v>246</v>
      </c>
      <c r="C28" s="128">
        <v>15000</v>
      </c>
      <c r="D28" s="182">
        <v>7</v>
      </c>
      <c r="E28" s="182">
        <v>7</v>
      </c>
      <c r="F28" s="183">
        <v>12000</v>
      </c>
      <c r="G28" s="128">
        <v>3500</v>
      </c>
      <c r="H28" s="128">
        <v>750</v>
      </c>
      <c r="I28" s="183">
        <v>12</v>
      </c>
      <c r="J28" s="185">
        <v>6.8</v>
      </c>
      <c r="K28" s="183">
        <v>1.2</v>
      </c>
      <c r="L28" s="183"/>
      <c r="M28" s="8"/>
      <c r="N28" s="8"/>
      <c r="O28" s="8"/>
      <c r="P28" s="8"/>
    </row>
    <row r="29" spans="1:16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33.75" customHeight="1" x14ac:dyDescent="0.2">
      <c r="A30" s="16"/>
      <c r="B30" s="273" t="s">
        <v>260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16"/>
      <c r="O30" s="8"/>
      <c r="P30" s="8"/>
    </row>
    <row r="31" spans="1:16" x14ac:dyDescent="0.2">
      <c r="A31" s="1"/>
      <c r="B31" s="99"/>
      <c r="C31" s="274" t="s">
        <v>123</v>
      </c>
      <c r="D31" s="275"/>
      <c r="E31" s="276"/>
      <c r="F31" s="100"/>
      <c r="G31" s="277" t="s">
        <v>124</v>
      </c>
      <c r="H31" s="278"/>
      <c r="I31" s="278"/>
      <c r="J31" s="279"/>
      <c r="K31" s="101" t="s">
        <v>24</v>
      </c>
      <c r="L31" s="102" t="s">
        <v>125</v>
      </c>
      <c r="M31" s="280" t="s">
        <v>126</v>
      </c>
      <c r="N31" s="1"/>
      <c r="O31" s="8"/>
      <c r="P31" s="8"/>
    </row>
    <row r="32" spans="1:16" x14ac:dyDescent="0.2">
      <c r="A32" s="1"/>
      <c r="B32" s="103"/>
      <c r="C32" s="282" t="s">
        <v>47</v>
      </c>
      <c r="D32" s="284" t="s">
        <v>48</v>
      </c>
      <c r="E32" s="284" t="s">
        <v>127</v>
      </c>
      <c r="F32" s="284" t="s">
        <v>128</v>
      </c>
      <c r="G32" s="286" t="s">
        <v>129</v>
      </c>
      <c r="H32" s="286" t="s">
        <v>24</v>
      </c>
      <c r="I32" s="286" t="s">
        <v>130</v>
      </c>
      <c r="J32" s="286" t="s">
        <v>49</v>
      </c>
      <c r="K32" s="104"/>
      <c r="L32" s="104"/>
      <c r="M32" s="281"/>
      <c r="N32" s="1"/>
      <c r="O32" s="8"/>
      <c r="P32" s="8"/>
    </row>
    <row r="33" spans="1:29" x14ac:dyDescent="0.2">
      <c r="A33" s="1"/>
      <c r="B33" s="105"/>
      <c r="C33" s="283"/>
      <c r="D33" s="285"/>
      <c r="E33" s="285"/>
      <c r="F33" s="285"/>
      <c r="G33" s="285"/>
      <c r="H33" s="285"/>
      <c r="I33" s="285"/>
      <c r="J33" s="285"/>
      <c r="K33" s="106" t="s">
        <v>131</v>
      </c>
      <c r="L33" s="107" t="s">
        <v>132</v>
      </c>
      <c r="M33" s="108" t="s">
        <v>103</v>
      </c>
      <c r="N33" s="1"/>
      <c r="O33" s="8"/>
      <c r="P33" s="8"/>
    </row>
    <row r="34" spans="1:29" s="2" customFormat="1" x14ac:dyDescent="0.2">
      <c r="A34" s="85"/>
      <c r="B34" s="268" t="s">
        <v>133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70"/>
      <c r="N34" s="8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" customHeight="1" x14ac:dyDescent="0.2">
      <c r="A35" s="85"/>
      <c r="B35" s="109" t="s">
        <v>134</v>
      </c>
      <c r="C35" s="110">
        <v>0.84</v>
      </c>
      <c r="D35" s="110">
        <v>0.624</v>
      </c>
      <c r="E35" s="110">
        <v>0.1</v>
      </c>
      <c r="F35" s="111">
        <f t="shared" ref="F35:F38" si="0">SUM(C35:E35)</f>
        <v>1.5640000000000001</v>
      </c>
      <c r="G35" s="111">
        <v>0.3</v>
      </c>
      <c r="H35" s="111">
        <v>3.4319999999999999</v>
      </c>
      <c r="I35" s="111">
        <v>0.75800000000000001</v>
      </c>
      <c r="J35" s="111">
        <f t="shared" ref="J35:J38" si="1">SUM(G35:I35)</f>
        <v>4.49</v>
      </c>
      <c r="K35" s="112">
        <f t="shared" ref="K35:K38" si="2">H35/15.6</f>
        <v>0.22</v>
      </c>
      <c r="L35" s="112">
        <f t="shared" ref="L35:L38" si="3">(I35*0.85)/2</f>
        <v>0.32214999999999999</v>
      </c>
      <c r="M35" s="111">
        <f t="shared" ref="M35:M38" si="4">F35+J35</f>
        <v>6.0540000000000003</v>
      </c>
      <c r="N35" s="1"/>
      <c r="O35" s="8"/>
      <c r="P35" s="8"/>
    </row>
    <row r="36" spans="1:29" ht="15" customHeight="1" x14ac:dyDescent="0.2">
      <c r="A36" s="85"/>
      <c r="B36" s="109" t="s">
        <v>245</v>
      </c>
      <c r="C36" s="110">
        <v>2.4700000000000002</v>
      </c>
      <c r="D36" s="110">
        <v>1.04</v>
      </c>
      <c r="E36" s="110">
        <v>0.95</v>
      </c>
      <c r="F36" s="111">
        <f t="shared" ref="F36" si="5">SUM(C36:E36)</f>
        <v>4.46</v>
      </c>
      <c r="G36" s="110">
        <v>1.1299999999999999</v>
      </c>
      <c r="H36" s="110">
        <v>0</v>
      </c>
      <c r="I36" s="110">
        <v>4.75</v>
      </c>
      <c r="J36" s="111">
        <f t="shared" ref="J36" si="6">SUM(G36:I36)</f>
        <v>5.88</v>
      </c>
      <c r="K36" s="112">
        <f t="shared" ref="K36" si="7">H36/15.6</f>
        <v>0</v>
      </c>
      <c r="L36" s="112">
        <f t="shared" ref="L36" si="8">(I36*0.85)/2</f>
        <v>2.0187499999999998</v>
      </c>
      <c r="M36" s="111">
        <f t="shared" ref="M36" si="9">F36+J36</f>
        <v>10.34</v>
      </c>
      <c r="N36" s="1"/>
      <c r="O36" s="8"/>
      <c r="P36" s="8"/>
    </row>
    <row r="37" spans="1:29" ht="15" customHeight="1" x14ac:dyDescent="0.2">
      <c r="A37" s="85"/>
      <c r="B37" s="109" t="s">
        <v>246</v>
      </c>
      <c r="C37" s="110">
        <v>1.64</v>
      </c>
      <c r="D37" s="110">
        <v>0.69</v>
      </c>
      <c r="E37" s="110">
        <v>0.63</v>
      </c>
      <c r="F37" s="111">
        <f t="shared" si="0"/>
        <v>2.96</v>
      </c>
      <c r="G37" s="110">
        <v>0.75</v>
      </c>
      <c r="H37" s="110">
        <v>0</v>
      </c>
      <c r="I37" s="110">
        <v>1.59</v>
      </c>
      <c r="J37" s="111">
        <f t="shared" si="1"/>
        <v>2.34</v>
      </c>
      <c r="K37" s="112">
        <f t="shared" si="2"/>
        <v>0</v>
      </c>
      <c r="L37" s="112">
        <f t="shared" si="3"/>
        <v>0.67574999999999996</v>
      </c>
      <c r="M37" s="111">
        <f t="shared" si="4"/>
        <v>5.3</v>
      </c>
      <c r="N37" s="1"/>
      <c r="O37" s="8"/>
      <c r="P37" s="8"/>
    </row>
    <row r="38" spans="1:29" ht="15" customHeight="1" x14ac:dyDescent="0.2">
      <c r="A38" s="85"/>
      <c r="B38" s="109" t="s">
        <v>205</v>
      </c>
      <c r="C38" s="110">
        <v>2</v>
      </c>
      <c r="D38" s="111">
        <v>1.88</v>
      </c>
      <c r="E38" s="111">
        <v>2.5299999999999998</v>
      </c>
      <c r="F38" s="111">
        <f t="shared" si="0"/>
        <v>6.41</v>
      </c>
      <c r="G38" s="111">
        <v>4</v>
      </c>
      <c r="H38" s="111">
        <v>1.87</v>
      </c>
      <c r="I38" s="111">
        <v>0.86</v>
      </c>
      <c r="J38" s="111">
        <f t="shared" si="1"/>
        <v>6.73</v>
      </c>
      <c r="K38" s="112">
        <f t="shared" si="2"/>
        <v>0.11987179487179488</v>
      </c>
      <c r="L38" s="112">
        <f t="shared" si="3"/>
        <v>0.36549999999999999</v>
      </c>
      <c r="M38" s="111">
        <f t="shared" si="4"/>
        <v>13.14</v>
      </c>
      <c r="N38" s="1"/>
      <c r="O38" s="8"/>
      <c r="P38" s="8"/>
    </row>
    <row r="39" spans="1:29" ht="15" customHeight="1" x14ac:dyDescent="0.2">
      <c r="A39" s="85"/>
      <c r="B39" s="109" t="s">
        <v>205</v>
      </c>
      <c r="C39" s="110">
        <v>2</v>
      </c>
      <c r="D39" s="111">
        <v>1.88</v>
      </c>
      <c r="E39" s="111">
        <v>2.5299999999999998</v>
      </c>
      <c r="F39" s="111">
        <f t="shared" ref="F39" si="10">SUM(C39:E39)</f>
        <v>6.41</v>
      </c>
      <c r="G39" s="111">
        <v>4</v>
      </c>
      <c r="H39" s="111">
        <v>1.87</v>
      </c>
      <c r="I39" s="111">
        <v>0.86</v>
      </c>
      <c r="J39" s="111">
        <f t="shared" ref="J39" si="11">SUM(G39:I39)</f>
        <v>6.73</v>
      </c>
      <c r="K39" s="112">
        <f t="shared" ref="K39" si="12">H39/15.6</f>
        <v>0.11987179487179488</v>
      </c>
      <c r="L39" s="112">
        <f t="shared" ref="L39" si="13">(I39*0.85)/2</f>
        <v>0.36549999999999999</v>
      </c>
      <c r="M39" s="111">
        <f t="shared" ref="M39" si="14">F39+J39</f>
        <v>13.14</v>
      </c>
      <c r="N39" s="1"/>
      <c r="O39" s="8"/>
      <c r="P39" s="8"/>
    </row>
    <row r="40" spans="1:29" ht="15" customHeight="1" x14ac:dyDescent="0.2">
      <c r="A40" s="85"/>
      <c r="B40" s="109" t="s">
        <v>205</v>
      </c>
      <c r="C40" s="110">
        <v>2</v>
      </c>
      <c r="D40" s="111">
        <v>1.88</v>
      </c>
      <c r="E40" s="111">
        <v>2.5299999999999998</v>
      </c>
      <c r="F40" s="111">
        <f t="shared" ref="F40" si="15">SUM(C40:E40)</f>
        <v>6.41</v>
      </c>
      <c r="G40" s="111">
        <v>4</v>
      </c>
      <c r="H40" s="111">
        <v>1.87</v>
      </c>
      <c r="I40" s="111">
        <v>0.86</v>
      </c>
      <c r="J40" s="111">
        <f t="shared" ref="J40" si="16">SUM(G40:I40)</f>
        <v>6.73</v>
      </c>
      <c r="K40" s="112">
        <f t="shared" ref="K40" si="17">H40/15.6</f>
        <v>0.11987179487179488</v>
      </c>
      <c r="L40" s="112">
        <f t="shared" ref="L40" si="18">(I40*0.85)/2</f>
        <v>0.36549999999999999</v>
      </c>
      <c r="M40" s="111">
        <f t="shared" ref="M40" si="19">F40+J40</f>
        <v>13.14</v>
      </c>
      <c r="N40" s="1"/>
      <c r="O40" s="8"/>
      <c r="P40" s="8"/>
    </row>
    <row r="41" spans="1:29" ht="15" customHeight="1" x14ac:dyDescent="0.2">
      <c r="A41" s="85"/>
      <c r="B41" s="113" t="s">
        <v>137</v>
      </c>
      <c r="C41" s="114"/>
      <c r="D41" s="114"/>
      <c r="E41" s="114"/>
      <c r="F41" s="114"/>
      <c r="G41" s="114"/>
      <c r="H41" s="114"/>
      <c r="I41" s="114"/>
      <c r="J41" s="114"/>
      <c r="K41" s="193"/>
      <c r="L41" s="193"/>
      <c r="M41" s="114"/>
      <c r="N41" s="85"/>
      <c r="O41" s="8"/>
      <c r="P41" s="8"/>
    </row>
    <row r="42" spans="1:29" ht="15" customHeight="1" x14ac:dyDescent="0.2">
      <c r="A42" s="85"/>
      <c r="B42" s="118" t="s">
        <v>184</v>
      </c>
      <c r="C42" s="117">
        <v>0.63</v>
      </c>
      <c r="D42" s="115">
        <v>0.68</v>
      </c>
      <c r="E42" s="115">
        <v>0.11</v>
      </c>
      <c r="F42" s="115">
        <f t="shared" ref="F42:F52" si="20">SUM(C42:E42)</f>
        <v>1.4200000000000002</v>
      </c>
      <c r="G42" s="115">
        <v>1.1100000000000001</v>
      </c>
      <c r="H42" s="115">
        <v>2.46</v>
      </c>
      <c r="I42" s="115">
        <v>2.44</v>
      </c>
      <c r="J42" s="115">
        <f t="shared" ref="J42:J52" si="21">SUM(G42:I42)</f>
        <v>6.01</v>
      </c>
      <c r="K42" s="194">
        <f t="shared" ref="K42:K52" si="22">H42/15.6</f>
        <v>0.15769230769230769</v>
      </c>
      <c r="L42" s="194">
        <f t="shared" ref="L42:L52" si="23">(I42*0.85)/2</f>
        <v>1.0369999999999999</v>
      </c>
      <c r="M42" s="115">
        <f t="shared" ref="M42:M52" si="24">F42+J42</f>
        <v>7.43</v>
      </c>
      <c r="N42" s="1"/>
      <c r="O42" s="8"/>
      <c r="P42" s="8"/>
    </row>
    <row r="43" spans="1:29" ht="15" customHeight="1" x14ac:dyDescent="0.2">
      <c r="A43" s="85"/>
      <c r="B43" s="118" t="s">
        <v>185</v>
      </c>
      <c r="C43" s="115">
        <v>1.22</v>
      </c>
      <c r="D43" s="115">
        <v>1.43</v>
      </c>
      <c r="E43" s="115">
        <v>0.19</v>
      </c>
      <c r="F43" s="115">
        <f t="shared" si="20"/>
        <v>2.84</v>
      </c>
      <c r="G43" s="115">
        <v>2.17</v>
      </c>
      <c r="H43" s="115">
        <v>4.1100000000000003</v>
      </c>
      <c r="I43" s="115">
        <v>4.07</v>
      </c>
      <c r="J43" s="115">
        <f t="shared" si="21"/>
        <v>10.350000000000001</v>
      </c>
      <c r="K43" s="194">
        <f t="shared" si="22"/>
        <v>0.26346153846153847</v>
      </c>
      <c r="L43" s="194">
        <f t="shared" si="23"/>
        <v>1.7297500000000001</v>
      </c>
      <c r="M43" s="115">
        <f t="shared" si="24"/>
        <v>13.190000000000001</v>
      </c>
      <c r="N43" s="1"/>
      <c r="O43" s="8"/>
      <c r="P43" s="8"/>
    </row>
    <row r="44" spans="1:29" ht="15" customHeight="1" x14ac:dyDescent="0.2">
      <c r="A44" s="85"/>
      <c r="B44" s="118" t="s">
        <v>186</v>
      </c>
      <c r="C44" s="115">
        <v>0.6</v>
      </c>
      <c r="D44" s="115">
        <v>0.71</v>
      </c>
      <c r="E44" s="115">
        <v>0.1</v>
      </c>
      <c r="F44" s="115">
        <f t="shared" si="20"/>
        <v>1.4100000000000001</v>
      </c>
      <c r="G44" s="115">
        <v>1.25</v>
      </c>
      <c r="H44" s="115">
        <v>2.36</v>
      </c>
      <c r="I44" s="115">
        <v>2.34</v>
      </c>
      <c r="J44" s="115">
        <f t="shared" si="21"/>
        <v>5.9499999999999993</v>
      </c>
      <c r="K44" s="194">
        <f t="shared" si="22"/>
        <v>0.15128205128205127</v>
      </c>
      <c r="L44" s="194">
        <f t="shared" si="23"/>
        <v>0.99449999999999994</v>
      </c>
      <c r="M44" s="115">
        <f t="shared" si="24"/>
        <v>7.3599999999999994</v>
      </c>
      <c r="N44" s="1"/>
      <c r="O44" s="8"/>
      <c r="P44" s="8"/>
    </row>
    <row r="45" spans="1:29" ht="15" customHeight="1" x14ac:dyDescent="0.2">
      <c r="A45" s="85"/>
      <c r="B45" s="118" t="s">
        <v>187</v>
      </c>
      <c r="C45" s="115">
        <v>3.68</v>
      </c>
      <c r="D45" s="115">
        <v>3.76</v>
      </c>
      <c r="E45" s="115">
        <v>1.31</v>
      </c>
      <c r="F45" s="115">
        <f t="shared" si="20"/>
        <v>8.75</v>
      </c>
      <c r="G45" s="115">
        <v>20.329999999999998</v>
      </c>
      <c r="H45" s="115">
        <v>3.3</v>
      </c>
      <c r="I45" s="115">
        <v>3.27</v>
      </c>
      <c r="J45" s="115">
        <f t="shared" si="21"/>
        <v>26.9</v>
      </c>
      <c r="K45" s="194">
        <f t="shared" si="22"/>
        <v>0.21153846153846154</v>
      </c>
      <c r="L45" s="194">
        <f t="shared" si="23"/>
        <v>1.38975</v>
      </c>
      <c r="M45" s="115">
        <f t="shared" si="24"/>
        <v>35.65</v>
      </c>
      <c r="N45" s="1"/>
      <c r="O45" s="8"/>
      <c r="P45" s="8"/>
    </row>
    <row r="46" spans="1:29" ht="15" customHeight="1" x14ac:dyDescent="0.2">
      <c r="A46" s="85"/>
      <c r="B46" s="118" t="s">
        <v>194</v>
      </c>
      <c r="C46" s="115">
        <v>0.39</v>
      </c>
      <c r="D46" s="115">
        <v>0.45</v>
      </c>
      <c r="E46" s="115">
        <v>0.06</v>
      </c>
      <c r="F46" s="115">
        <f t="shared" si="20"/>
        <v>0.90000000000000013</v>
      </c>
      <c r="G46" s="115">
        <v>0.87</v>
      </c>
      <c r="H46" s="115">
        <v>1.64</v>
      </c>
      <c r="I46" s="115">
        <v>1.62</v>
      </c>
      <c r="J46" s="115">
        <f t="shared" si="21"/>
        <v>4.13</v>
      </c>
      <c r="K46" s="194">
        <f t="shared" si="22"/>
        <v>0.10512820512820513</v>
      </c>
      <c r="L46" s="194">
        <f t="shared" si="23"/>
        <v>0.6885</v>
      </c>
      <c r="M46" s="115">
        <f t="shared" si="24"/>
        <v>5.03</v>
      </c>
      <c r="N46" s="1"/>
      <c r="O46" s="8"/>
      <c r="P46" s="8"/>
    </row>
    <row r="47" spans="1:29" ht="15" customHeight="1" x14ac:dyDescent="0.2">
      <c r="A47" s="85"/>
      <c r="B47" s="118" t="s">
        <v>189</v>
      </c>
      <c r="C47" s="117">
        <v>0.53</v>
      </c>
      <c r="D47" s="115">
        <v>0.76</v>
      </c>
      <c r="E47" s="115">
        <v>0.11</v>
      </c>
      <c r="F47" s="115">
        <f>SUM(C47:E47)</f>
        <v>1.4000000000000001</v>
      </c>
      <c r="G47" s="115">
        <v>2.02</v>
      </c>
      <c r="H47" s="115">
        <v>3.47</v>
      </c>
      <c r="I47" s="115">
        <v>2.75</v>
      </c>
      <c r="J47" s="115">
        <f>SUM(G47:I47)</f>
        <v>8.24</v>
      </c>
      <c r="K47" s="194">
        <f>H47/15.6</f>
        <v>0.22243589743589745</v>
      </c>
      <c r="L47" s="194">
        <f>(I47*0.85)/2</f>
        <v>1.16875</v>
      </c>
      <c r="M47" s="115">
        <f>F47+J47</f>
        <v>9.64</v>
      </c>
      <c r="N47" s="1"/>
      <c r="O47" s="8"/>
      <c r="P47" s="8"/>
    </row>
    <row r="48" spans="1:29" ht="15" customHeight="1" x14ac:dyDescent="0.2">
      <c r="A48" s="85"/>
      <c r="B48" s="118" t="s">
        <v>189</v>
      </c>
      <c r="C48" s="117">
        <v>0.53</v>
      </c>
      <c r="D48" s="115">
        <v>0.76</v>
      </c>
      <c r="E48" s="115">
        <v>0.11</v>
      </c>
      <c r="F48" s="115">
        <f t="shared" ref="F48" si="25">SUM(C48:E48)</f>
        <v>1.4000000000000001</v>
      </c>
      <c r="G48" s="115">
        <v>2.02</v>
      </c>
      <c r="H48" s="115">
        <v>3.47</v>
      </c>
      <c r="I48" s="115">
        <v>2.75</v>
      </c>
      <c r="J48" s="115">
        <f t="shared" ref="J48" si="26">SUM(G48:I48)</f>
        <v>8.24</v>
      </c>
      <c r="K48" s="194">
        <f t="shared" ref="K48" si="27">H48/15.6</f>
        <v>0.22243589743589745</v>
      </c>
      <c r="L48" s="194">
        <f t="shared" ref="L48" si="28">(I48*0.85)/2</f>
        <v>1.16875</v>
      </c>
      <c r="M48" s="115">
        <f t="shared" ref="M48" si="29">F48+J48</f>
        <v>9.64</v>
      </c>
      <c r="N48" s="1"/>
      <c r="O48" s="8"/>
      <c r="P48" s="8"/>
    </row>
    <row r="49" spans="1:30" ht="15" customHeight="1" x14ac:dyDescent="0.2">
      <c r="A49" s="85"/>
      <c r="B49" s="118" t="s">
        <v>231</v>
      </c>
      <c r="C49" s="117">
        <v>1.23</v>
      </c>
      <c r="D49" s="115">
        <v>1.43</v>
      </c>
      <c r="E49" s="115">
        <v>0.18</v>
      </c>
      <c r="F49" s="115">
        <f t="shared" si="20"/>
        <v>2.8400000000000003</v>
      </c>
      <c r="G49" s="115">
        <v>4.42</v>
      </c>
      <c r="H49" s="115">
        <v>2.95</v>
      </c>
      <c r="I49" s="115">
        <v>2.92</v>
      </c>
      <c r="J49" s="115">
        <f t="shared" si="21"/>
        <v>10.29</v>
      </c>
      <c r="K49" s="194">
        <f t="shared" si="22"/>
        <v>0.18910256410256412</v>
      </c>
      <c r="L49" s="194">
        <f t="shared" si="23"/>
        <v>1.2409999999999999</v>
      </c>
      <c r="M49" s="115">
        <f t="shared" si="24"/>
        <v>13.129999999999999</v>
      </c>
      <c r="N49" s="1"/>
      <c r="O49" s="8"/>
      <c r="P49" s="8"/>
    </row>
    <row r="50" spans="1:30" ht="15" customHeight="1" x14ac:dyDescent="0.2">
      <c r="A50" s="85"/>
      <c r="B50" s="118" t="s">
        <v>188</v>
      </c>
      <c r="C50" s="117">
        <v>0.78</v>
      </c>
      <c r="D50" s="115">
        <v>0.92</v>
      </c>
      <c r="E50" s="115">
        <v>0.22</v>
      </c>
      <c r="F50" s="115">
        <f t="shared" si="20"/>
        <v>1.9200000000000002</v>
      </c>
      <c r="G50" s="115">
        <v>2.54</v>
      </c>
      <c r="H50" s="115">
        <v>2.11</v>
      </c>
      <c r="I50" s="115">
        <v>2.08</v>
      </c>
      <c r="J50" s="115">
        <f t="shared" si="21"/>
        <v>6.73</v>
      </c>
      <c r="K50" s="194">
        <f t="shared" si="22"/>
        <v>0.13525641025641025</v>
      </c>
      <c r="L50" s="194">
        <f t="shared" si="23"/>
        <v>0.88400000000000001</v>
      </c>
      <c r="M50" s="115">
        <f t="shared" si="24"/>
        <v>8.65</v>
      </c>
      <c r="N50" s="1"/>
      <c r="O50" s="8"/>
      <c r="P50" s="8"/>
    </row>
    <row r="51" spans="1:30" ht="15" customHeight="1" x14ac:dyDescent="0.2">
      <c r="A51" s="85"/>
      <c r="B51" s="114" t="s">
        <v>248</v>
      </c>
      <c r="C51" s="117">
        <v>1.72</v>
      </c>
      <c r="D51" s="115">
        <v>2.0499999999999998</v>
      </c>
      <c r="E51" s="115">
        <v>0.39</v>
      </c>
      <c r="F51" s="115">
        <f t="shared" si="20"/>
        <v>4.1599999999999993</v>
      </c>
      <c r="G51" s="115">
        <v>10.88</v>
      </c>
      <c r="H51" s="115">
        <v>5.9</v>
      </c>
      <c r="I51" s="115">
        <v>4.68</v>
      </c>
      <c r="J51" s="115">
        <f t="shared" si="21"/>
        <v>21.46</v>
      </c>
      <c r="K51" s="194">
        <f t="shared" si="22"/>
        <v>0.37820512820512825</v>
      </c>
      <c r="L51" s="194">
        <f t="shared" si="23"/>
        <v>1.9889999999999999</v>
      </c>
      <c r="M51" s="115">
        <f t="shared" si="24"/>
        <v>25.62</v>
      </c>
      <c r="N51" s="1"/>
      <c r="O51" s="8"/>
      <c r="P51" s="8"/>
    </row>
    <row r="52" spans="1:30" ht="15" customHeight="1" x14ac:dyDescent="0.2">
      <c r="A52" s="85"/>
      <c r="B52" s="114" t="s">
        <v>214</v>
      </c>
      <c r="C52" s="115">
        <v>7.74</v>
      </c>
      <c r="D52" s="115">
        <v>8.2100000000000009</v>
      </c>
      <c r="E52" s="115">
        <v>1.77</v>
      </c>
      <c r="F52" s="115">
        <f t="shared" si="20"/>
        <v>17.720000000000002</v>
      </c>
      <c r="G52" s="115">
        <v>28.16</v>
      </c>
      <c r="H52" s="115">
        <v>59.58</v>
      </c>
      <c r="I52" s="115">
        <v>15.59</v>
      </c>
      <c r="J52" s="115">
        <f t="shared" si="21"/>
        <v>103.33</v>
      </c>
      <c r="K52" s="194">
        <f t="shared" si="22"/>
        <v>3.8192307692307694</v>
      </c>
      <c r="L52" s="194">
        <f t="shared" si="23"/>
        <v>6.62575</v>
      </c>
      <c r="M52" s="115">
        <f t="shared" si="24"/>
        <v>121.05</v>
      </c>
      <c r="N52" s="1"/>
      <c r="O52" s="8"/>
      <c r="P52" s="8"/>
    </row>
    <row r="53" spans="1:30" s="8" customFormat="1" x14ac:dyDescent="0.2">
      <c r="A53" s="122"/>
      <c r="B53" s="121" t="s">
        <v>149</v>
      </c>
      <c r="C53" s="120">
        <f>SUM(C35:C52)</f>
        <v>30.000000000000007</v>
      </c>
      <c r="D53" s="120">
        <f>SUM(D35:D52)</f>
        <v>29.154000000000003</v>
      </c>
      <c r="E53" s="120">
        <f t="shared" ref="E53:M53" si="30">SUM(E35:E52)</f>
        <v>13.819999999999999</v>
      </c>
      <c r="F53" s="120">
        <f t="shared" si="30"/>
        <v>72.974000000000004</v>
      </c>
      <c r="G53" s="120">
        <f t="shared" si="30"/>
        <v>89.95</v>
      </c>
      <c r="H53" s="120">
        <f t="shared" si="30"/>
        <v>100.392</v>
      </c>
      <c r="I53" s="120">
        <f t="shared" si="30"/>
        <v>54.188000000000002</v>
      </c>
      <c r="J53" s="120">
        <f t="shared" si="30"/>
        <v>244.52999999999997</v>
      </c>
      <c r="K53" s="195">
        <f t="shared" si="30"/>
        <v>6.4353846153846153</v>
      </c>
      <c r="L53" s="195">
        <f t="shared" si="30"/>
        <v>23.029899999999998</v>
      </c>
      <c r="M53" s="120">
        <f t="shared" si="30"/>
        <v>317.50399999999996</v>
      </c>
      <c r="AD53"/>
    </row>
    <row r="54" spans="1:30" s="8" customFormat="1" x14ac:dyDescent="0.2">
      <c r="A54" s="122"/>
      <c r="B54" s="12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2"/>
      <c r="AD54"/>
    </row>
    <row r="55" spans="1:30" s="8" customFormat="1" x14ac:dyDescent="0.2">
      <c r="A55" s="122"/>
      <c r="B55" s="12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2"/>
      <c r="AD55"/>
    </row>
    <row r="56" spans="1:30" s="8" customFormat="1" ht="25.5" customHeight="1" x14ac:dyDescent="0.2">
      <c r="A56" s="122"/>
      <c r="B56" s="12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2"/>
      <c r="AD56"/>
    </row>
    <row r="57" spans="1:30" s="8" customFormat="1" x14ac:dyDescent="0.2"/>
    <row r="58" spans="1:30" s="8" customFormat="1" x14ac:dyDescent="0.2"/>
    <row r="59" spans="1:30" s="8" customFormat="1" x14ac:dyDescent="0.2"/>
    <row r="60" spans="1:30" s="8" customFormat="1" x14ac:dyDescent="0.2"/>
    <row r="61" spans="1:30" s="8" customFormat="1" x14ac:dyDescent="0.2"/>
    <row r="62" spans="1:30" s="8" customFormat="1" x14ac:dyDescent="0.2"/>
    <row r="63" spans="1:30" s="8" customFormat="1" x14ac:dyDescent="0.2"/>
    <row r="64" spans="1:30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2:12" s="8" customFormat="1" x14ac:dyDescent="0.2"/>
    <row r="82" spans="2:12" s="8" customFormat="1" x14ac:dyDescent="0.2"/>
    <row r="83" spans="2:12" s="8" customFormat="1" x14ac:dyDescent="0.2"/>
    <row r="84" spans="2:12" s="8" customFormat="1" x14ac:dyDescent="0.2"/>
    <row r="85" spans="2:12" s="8" customFormat="1" x14ac:dyDescent="0.2"/>
    <row r="86" spans="2:12" s="8" customFormat="1" x14ac:dyDescent="0.2"/>
    <row r="87" spans="2:12" s="8" customFormat="1" x14ac:dyDescent="0.2"/>
    <row r="88" spans="2:12" s="8" customFormat="1" x14ac:dyDescent="0.2"/>
    <row r="89" spans="2:12" s="8" customFormat="1" x14ac:dyDescent="0.2"/>
    <row r="90" spans="2:12" s="8" customFormat="1" x14ac:dyDescent="0.2"/>
    <row r="91" spans="2:12" s="8" customFormat="1" x14ac:dyDescent="0.2"/>
    <row r="92" spans="2:12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</sheetData>
  <mergeCells count="14">
    <mergeCell ref="B34:M34"/>
    <mergeCell ref="B2:L2"/>
    <mergeCell ref="B30:M30"/>
    <mergeCell ref="C31:E31"/>
    <mergeCell ref="G31:J31"/>
    <mergeCell ref="M31:M32"/>
    <mergeCell ref="C32:C33"/>
    <mergeCell ref="D32:D33"/>
    <mergeCell ref="E32:E33"/>
    <mergeCell ref="F32:F33"/>
    <mergeCell ref="G32:G33"/>
    <mergeCell ref="H32:H33"/>
    <mergeCell ref="I32:I33"/>
    <mergeCell ref="J32:J33"/>
  </mergeCells>
  <pageMargins left="0.7" right="0.7" top="0.75" bottom="0.75" header="0.3" footer="0.3"/>
  <pageSetup scale="6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B3" sqref="B3"/>
    </sheetView>
  </sheetViews>
  <sheetFormatPr defaultColWidth="13.140625" defaultRowHeight="12.75" x14ac:dyDescent="0.2"/>
  <cols>
    <col min="1" max="1" width="4.42578125" style="85" customWidth="1"/>
    <col min="2" max="2" width="13.28515625" style="2" customWidth="1"/>
    <col min="3" max="3" width="24.42578125" style="2" customWidth="1"/>
    <col min="4" max="4" width="38" style="2" customWidth="1"/>
    <col min="5" max="5" width="58.7109375" style="2" customWidth="1"/>
    <col min="6" max="16384" width="13.140625" style="2"/>
  </cols>
  <sheetData>
    <row r="1" spans="2:6" s="85" customFormat="1" ht="17.25" customHeight="1" x14ac:dyDescent="0.2"/>
    <row r="2" spans="2:6" s="85" customFormat="1" ht="39.75" customHeight="1" x14ac:dyDescent="0.25">
      <c r="B2" s="261" t="s">
        <v>261</v>
      </c>
      <c r="C2" s="261"/>
      <c r="D2" s="261"/>
      <c r="E2" s="261"/>
    </row>
    <row r="3" spans="2:6" s="85" customFormat="1" ht="6" customHeight="1" x14ac:dyDescent="0.25">
      <c r="B3" s="91"/>
      <c r="C3" s="92"/>
      <c r="D3" s="92"/>
      <c r="E3" s="92"/>
    </row>
    <row r="4" spans="2:6" ht="33" customHeight="1" x14ac:dyDescent="0.2">
      <c r="B4" s="151" t="s">
        <v>0</v>
      </c>
      <c r="C4" s="151" t="s">
        <v>1</v>
      </c>
      <c r="D4" s="151" t="s">
        <v>2</v>
      </c>
      <c r="E4" s="151" t="s">
        <v>3</v>
      </c>
      <c r="F4" s="1"/>
    </row>
    <row r="5" spans="2:6" ht="24.95" customHeight="1" x14ac:dyDescent="0.2">
      <c r="B5" s="7" t="s">
        <v>114</v>
      </c>
      <c r="C5" s="7" t="s">
        <v>115</v>
      </c>
      <c r="D5" s="7" t="s">
        <v>233</v>
      </c>
      <c r="E5" s="7"/>
      <c r="F5" s="1"/>
    </row>
    <row r="6" spans="2:6" x14ac:dyDescent="0.2">
      <c r="B6" s="4"/>
      <c r="C6" s="4"/>
      <c r="D6" s="4"/>
      <c r="E6" s="4"/>
      <c r="F6" s="1"/>
    </row>
    <row r="7" spans="2:6" x14ac:dyDescent="0.2">
      <c r="B7" s="5" t="s">
        <v>114</v>
      </c>
      <c r="C7" s="5" t="s">
        <v>4</v>
      </c>
      <c r="D7" s="5"/>
      <c r="E7" s="5" t="s">
        <v>116</v>
      </c>
      <c r="F7" s="1"/>
    </row>
    <row r="8" spans="2:6" x14ac:dyDescent="0.2">
      <c r="B8" s="6"/>
      <c r="C8" s="6"/>
      <c r="D8" s="6"/>
      <c r="E8" s="6"/>
      <c r="F8" s="1"/>
    </row>
    <row r="9" spans="2:6" x14ac:dyDescent="0.2">
      <c r="B9" s="7" t="s">
        <v>237</v>
      </c>
      <c r="C9" s="7" t="s">
        <v>227</v>
      </c>
      <c r="D9" s="7" t="s">
        <v>228</v>
      </c>
      <c r="E9" s="7"/>
      <c r="F9" s="1"/>
    </row>
    <row r="10" spans="2:6" x14ac:dyDescent="0.2">
      <c r="B10" s="4"/>
      <c r="C10" s="4"/>
      <c r="D10" s="4"/>
      <c r="E10" s="4"/>
      <c r="F10" s="1"/>
    </row>
    <row r="11" spans="2:6" x14ac:dyDescent="0.2">
      <c r="B11" s="5" t="s">
        <v>237</v>
      </c>
      <c r="C11" s="5" t="s">
        <v>4</v>
      </c>
      <c r="D11" s="5" t="s">
        <v>165</v>
      </c>
      <c r="E11" s="5" t="s">
        <v>241</v>
      </c>
      <c r="F11" s="1"/>
    </row>
    <row r="12" spans="2:6" x14ac:dyDescent="0.2">
      <c r="B12" s="6"/>
      <c r="C12" s="6"/>
      <c r="D12" s="6"/>
      <c r="E12" s="6"/>
      <c r="F12" s="1"/>
    </row>
    <row r="13" spans="2:6" x14ac:dyDescent="0.2">
      <c r="B13" s="7" t="s">
        <v>237</v>
      </c>
      <c r="C13" s="7" t="s">
        <v>227</v>
      </c>
      <c r="D13" s="7" t="s">
        <v>228</v>
      </c>
      <c r="E13" s="7"/>
      <c r="F13" s="1"/>
    </row>
    <row r="14" spans="2:6" x14ac:dyDescent="0.2">
      <c r="B14" s="4"/>
      <c r="C14" s="4"/>
      <c r="D14" s="4"/>
      <c r="E14" s="4"/>
      <c r="F14" s="1"/>
    </row>
    <row r="15" spans="2:6" x14ac:dyDescent="0.2">
      <c r="B15" s="5" t="s">
        <v>237</v>
      </c>
      <c r="C15" s="5" t="s">
        <v>6</v>
      </c>
      <c r="D15" s="5" t="s">
        <v>142</v>
      </c>
      <c r="E15" s="5"/>
      <c r="F15" s="1"/>
    </row>
    <row r="16" spans="2:6" x14ac:dyDescent="0.2">
      <c r="B16" s="6"/>
      <c r="C16" s="6"/>
      <c r="D16" s="6"/>
      <c r="E16" s="6"/>
      <c r="F16" s="1"/>
    </row>
    <row r="17" spans="2:6" x14ac:dyDescent="0.2">
      <c r="B17" s="7" t="s">
        <v>237</v>
      </c>
      <c r="C17" s="7" t="s">
        <v>7</v>
      </c>
      <c r="D17" s="7" t="s">
        <v>140</v>
      </c>
      <c r="E17" s="7"/>
      <c r="F17" s="1"/>
    </row>
    <row r="18" spans="2:6" x14ac:dyDescent="0.2">
      <c r="B18" s="4"/>
      <c r="C18" s="4"/>
      <c r="D18" s="4"/>
      <c r="E18" s="4"/>
      <c r="F18" s="1"/>
    </row>
    <row r="19" spans="2:6" x14ac:dyDescent="0.2">
      <c r="B19" s="5" t="s">
        <v>237</v>
      </c>
      <c r="C19" s="5" t="s">
        <v>118</v>
      </c>
      <c r="D19" s="5" t="s">
        <v>120</v>
      </c>
      <c r="E19" s="5"/>
      <c r="F19" s="1"/>
    </row>
    <row r="20" spans="2:6" x14ac:dyDescent="0.2">
      <c r="B20" s="6"/>
      <c r="C20" s="6"/>
      <c r="D20" s="6"/>
      <c r="E20" s="6"/>
      <c r="F20" s="1"/>
    </row>
    <row r="21" spans="2:6" x14ac:dyDescent="0.2">
      <c r="B21" s="7" t="s">
        <v>237</v>
      </c>
      <c r="C21" s="7" t="s">
        <v>118</v>
      </c>
      <c r="D21" s="7" t="s">
        <v>119</v>
      </c>
      <c r="E21" s="7"/>
      <c r="F21" s="1"/>
    </row>
    <row r="22" spans="2:6" x14ac:dyDescent="0.2">
      <c r="B22" s="4"/>
      <c r="C22" s="4"/>
      <c r="D22" s="4"/>
      <c r="E22" s="4"/>
      <c r="F22" s="1"/>
    </row>
    <row r="23" spans="2:6" x14ac:dyDescent="0.2">
      <c r="B23" s="5" t="s">
        <v>237</v>
      </c>
      <c r="C23" s="5" t="s">
        <v>118</v>
      </c>
      <c r="D23" s="5" t="s">
        <v>119</v>
      </c>
      <c r="E23" s="5"/>
      <c r="F23" s="1"/>
    </row>
    <row r="24" spans="2:6" x14ac:dyDescent="0.2">
      <c r="B24" s="6"/>
      <c r="C24" s="6"/>
      <c r="D24" s="6"/>
      <c r="E24" s="6"/>
      <c r="F24" s="1"/>
    </row>
    <row r="25" spans="2:6" x14ac:dyDescent="0.2">
      <c r="B25" s="7" t="s">
        <v>237</v>
      </c>
      <c r="C25" s="7" t="s">
        <v>8</v>
      </c>
      <c r="D25" s="7" t="s">
        <v>141</v>
      </c>
      <c r="E25" s="7"/>
      <c r="F25" s="1"/>
    </row>
    <row r="26" spans="2:6" x14ac:dyDescent="0.2">
      <c r="B26" s="4"/>
      <c r="C26" s="4"/>
      <c r="D26" s="4"/>
      <c r="E26" s="4"/>
      <c r="F26" s="1"/>
    </row>
    <row r="27" spans="2:6" x14ac:dyDescent="0.2">
      <c r="B27" s="5" t="s">
        <v>238</v>
      </c>
      <c r="C27" s="5" t="s">
        <v>112</v>
      </c>
      <c r="D27" s="5" t="s">
        <v>113</v>
      </c>
      <c r="E27" s="5" t="s">
        <v>244</v>
      </c>
      <c r="F27" s="1"/>
    </row>
    <row r="28" spans="2:6" ht="24.95" customHeight="1" x14ac:dyDescent="0.2">
      <c r="B28" s="7" t="s">
        <v>238</v>
      </c>
      <c r="C28" s="7" t="s">
        <v>171</v>
      </c>
      <c r="D28" s="7" t="s">
        <v>172</v>
      </c>
      <c r="E28" s="7"/>
      <c r="F28" s="1"/>
    </row>
    <row r="29" spans="2:6" x14ac:dyDescent="0.2">
      <c r="B29" s="4"/>
      <c r="C29" s="4"/>
      <c r="D29" s="4"/>
      <c r="E29" s="4"/>
      <c r="F29" s="1"/>
    </row>
    <row r="30" spans="2:6" x14ac:dyDescent="0.2">
      <c r="B30" s="5" t="s">
        <v>239</v>
      </c>
      <c r="C30" s="5" t="s">
        <v>109</v>
      </c>
      <c r="D30" s="5" t="s">
        <v>110</v>
      </c>
      <c r="E30" s="5"/>
      <c r="F30" s="1"/>
    </row>
    <row r="31" spans="2:6" x14ac:dyDescent="0.2">
      <c r="B31" s="247"/>
      <c r="C31" s="247"/>
      <c r="D31" s="247"/>
      <c r="E31" s="247"/>
      <c r="F31" s="1"/>
    </row>
    <row r="32" spans="2:6" x14ac:dyDescent="0.2">
      <c r="B32" s="7" t="s">
        <v>239</v>
      </c>
      <c r="C32" s="7" t="s">
        <v>5</v>
      </c>
      <c r="D32" s="7" t="s">
        <v>111</v>
      </c>
      <c r="E32" s="7"/>
      <c r="F32" s="1"/>
    </row>
    <row r="33" spans="1:6" x14ac:dyDescent="0.2">
      <c r="B33" s="1"/>
      <c r="C33" s="1"/>
      <c r="D33" s="1"/>
      <c r="E33" s="1"/>
      <c r="F33" s="1"/>
    </row>
    <row r="34" spans="1:6" x14ac:dyDescent="0.2">
      <c r="B34" s="1"/>
      <c r="C34" s="1"/>
      <c r="D34" s="1"/>
      <c r="E34" s="1"/>
      <c r="F34" s="1"/>
    </row>
    <row r="35" spans="1:6" s="1" customFormat="1" x14ac:dyDescent="0.2">
      <c r="A35" s="85"/>
    </row>
    <row r="36" spans="1:6" x14ac:dyDescent="0.2">
      <c r="B36" s="1"/>
      <c r="C36" s="1"/>
      <c r="D36" s="1"/>
      <c r="E36" s="1"/>
    </row>
    <row r="37" spans="1:6" x14ac:dyDescent="0.2">
      <c r="B37" s="1"/>
      <c r="C37" s="1"/>
      <c r="D37" s="1"/>
      <c r="E37" s="1"/>
    </row>
    <row r="38" spans="1:6" x14ac:dyDescent="0.2">
      <c r="B38" s="1"/>
      <c r="C38" s="1"/>
      <c r="D38" s="1"/>
      <c r="E38" s="1"/>
    </row>
    <row r="39" spans="1:6" x14ac:dyDescent="0.2">
      <c r="B39" s="1"/>
      <c r="C39" s="1"/>
      <c r="D39" s="1"/>
      <c r="E39" s="1"/>
    </row>
    <row r="40" spans="1:6" x14ac:dyDescent="0.2">
      <c r="B40" s="1"/>
      <c r="C40" s="1"/>
      <c r="D40" s="1"/>
      <c r="E40" s="1"/>
    </row>
    <row r="41" spans="1:6" x14ac:dyDescent="0.2">
      <c r="B41" s="1"/>
      <c r="C41" s="1"/>
      <c r="D41" s="1"/>
      <c r="E41" s="1"/>
    </row>
    <row r="42" spans="1:6" x14ac:dyDescent="0.2">
      <c r="B42" s="1"/>
      <c r="C42" s="1"/>
      <c r="D42" s="1"/>
      <c r="E42" s="1"/>
    </row>
    <row r="43" spans="1:6" x14ac:dyDescent="0.2">
      <c r="B43" s="1"/>
      <c r="C43" s="1"/>
      <c r="D43" s="1"/>
      <c r="E43" s="1"/>
    </row>
    <row r="44" spans="1:6" x14ac:dyDescent="0.2">
      <c r="B44" s="1"/>
      <c r="C44" s="1"/>
      <c r="D44" s="1"/>
      <c r="E44" s="1"/>
    </row>
    <row r="45" spans="1:6" x14ac:dyDescent="0.2">
      <c r="B45" s="1"/>
      <c r="C45" s="1"/>
      <c r="D45" s="1"/>
      <c r="E45" s="1"/>
    </row>
    <row r="46" spans="1:6" x14ac:dyDescent="0.2">
      <c r="B46" s="1"/>
      <c r="C46" s="1"/>
      <c r="D46" s="1"/>
      <c r="E46" s="1"/>
    </row>
    <row r="47" spans="1:6" x14ac:dyDescent="0.2">
      <c r="B47" s="1"/>
      <c r="C47" s="1"/>
      <c r="D47" s="1"/>
      <c r="E47" s="1"/>
    </row>
    <row r="48" spans="1:6" x14ac:dyDescent="0.2">
      <c r="B48" s="1"/>
      <c r="C48" s="1"/>
      <c r="D48" s="1"/>
      <c r="E48" s="1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/>
      <c r="C58" s="1"/>
      <c r="D58" s="1"/>
      <c r="E58" s="1"/>
    </row>
    <row r="59" spans="2:5" x14ac:dyDescent="0.2">
      <c r="B59" s="1"/>
      <c r="C59" s="1"/>
      <c r="D59" s="1"/>
      <c r="E59" s="1"/>
    </row>
    <row r="60" spans="2:5" x14ac:dyDescent="0.2">
      <c r="B60" s="1"/>
      <c r="C60" s="1"/>
      <c r="D60" s="1"/>
      <c r="E60" s="1"/>
    </row>
    <row r="61" spans="2:5" x14ac:dyDescent="0.2">
      <c r="B61" s="1"/>
      <c r="C61" s="1"/>
      <c r="D61" s="1"/>
      <c r="E61" s="1"/>
    </row>
    <row r="62" spans="2:5" x14ac:dyDescent="0.2">
      <c r="B62" s="1"/>
      <c r="C62" s="1"/>
      <c r="D62" s="1"/>
      <c r="E62" s="1"/>
    </row>
    <row r="63" spans="2:5" x14ac:dyDescent="0.2">
      <c r="B63" s="1"/>
      <c r="C63" s="1"/>
      <c r="D63" s="1"/>
      <c r="E63" s="1"/>
    </row>
    <row r="64" spans="2:5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</sheetData>
  <mergeCells count="1">
    <mergeCell ref="B2:E2"/>
  </mergeCells>
  <phoneticPr fontId="5" type="noConversion"/>
  <pageMargins left="0.75" right="0.75" top="1" bottom="1" header="0.5" footer="0.5"/>
  <pageSetup scale="67" orientation="portrait" r:id="rId1"/>
  <headerFooter alignWithMargins="0">
    <oddFooter>&amp;L&amp;A&amp;C&amp;F&amp;R&amp;D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4"/>
  <sheetViews>
    <sheetView zoomScaleNormal="100" workbookViewId="0">
      <selection activeCell="L38" sqref="L38"/>
    </sheetView>
  </sheetViews>
  <sheetFormatPr defaultColWidth="8.7109375" defaultRowHeight="12.75" x14ac:dyDescent="0.2"/>
  <cols>
    <col min="1" max="1" width="3" style="8" customWidth="1"/>
    <col min="2" max="2" width="32.42578125" customWidth="1"/>
    <col min="3" max="3" width="2.42578125" customWidth="1"/>
    <col min="4" max="4" width="12" style="79" customWidth="1"/>
    <col min="5" max="5" width="2.42578125" customWidth="1"/>
    <col min="6" max="6" width="11" style="80" customWidth="1"/>
    <col min="7" max="7" width="2.42578125" customWidth="1"/>
    <col min="8" max="8" width="10.7109375" style="79" customWidth="1"/>
    <col min="9" max="9" width="2.42578125" customWidth="1"/>
    <col min="10" max="10" width="20.7109375" style="81" customWidth="1"/>
    <col min="11" max="11" width="3.28515625" hidden="1" customWidth="1"/>
    <col min="12" max="33" width="8.7109375" style="8" customWidth="1"/>
  </cols>
  <sheetData>
    <row r="1" spans="1:33" s="8" customFormat="1" ht="18" customHeight="1" x14ac:dyDescent="0.2">
      <c r="B1" s="90" t="s">
        <v>191</v>
      </c>
      <c r="C1" s="161"/>
      <c r="D1" s="162"/>
      <c r="E1" s="161"/>
      <c r="F1" s="163"/>
      <c r="G1" s="161"/>
      <c r="H1" s="162"/>
      <c r="I1" s="161"/>
      <c r="J1" s="161"/>
    </row>
    <row r="2" spans="1:33" s="8" customFormat="1" ht="15.75" customHeight="1" x14ac:dyDescent="0.2">
      <c r="B2" s="201" t="s">
        <v>212</v>
      </c>
      <c r="C2" s="152"/>
      <c r="D2" s="153"/>
      <c r="E2" s="152"/>
      <c r="F2" s="154"/>
      <c r="G2" s="152"/>
      <c r="H2" s="153"/>
      <c r="I2" s="152"/>
      <c r="J2" s="152"/>
    </row>
    <row r="3" spans="1:33" s="8" customFormat="1" ht="15.75" customHeight="1" x14ac:dyDescent="0.2">
      <c r="B3" s="199" t="s">
        <v>210</v>
      </c>
      <c r="C3" s="155"/>
      <c r="D3" s="156"/>
      <c r="E3" s="157"/>
      <c r="F3" s="158"/>
      <c r="G3" s="157"/>
      <c r="H3" s="156"/>
      <c r="I3" s="157"/>
      <c r="J3" s="157"/>
    </row>
    <row r="4" spans="1:33" s="8" customFormat="1" ht="15.75" customHeight="1" x14ac:dyDescent="0.2">
      <c r="B4" s="164" t="s">
        <v>192</v>
      </c>
      <c r="C4" s="159"/>
      <c r="D4" s="159"/>
      <c r="E4" s="159"/>
      <c r="F4" s="159"/>
      <c r="G4" s="159"/>
      <c r="H4" s="159"/>
      <c r="I4" s="160"/>
      <c r="J4" s="160"/>
    </row>
    <row r="5" spans="1:33" s="8" customFormat="1" ht="15.75" customHeight="1" x14ac:dyDescent="0.2">
      <c r="B5" s="200" t="s">
        <v>213</v>
      </c>
      <c r="C5" s="165"/>
      <c r="D5" s="166"/>
      <c r="E5" s="165"/>
      <c r="F5" s="167"/>
      <c r="G5" s="165"/>
      <c r="H5" s="166"/>
      <c r="I5" s="165"/>
      <c r="J5" s="165"/>
    </row>
    <row r="6" spans="1:33" s="8" customFormat="1" ht="18" customHeight="1" x14ac:dyDescent="0.2">
      <c r="D6" s="18"/>
      <c r="F6" s="19"/>
      <c r="H6" s="18"/>
    </row>
    <row r="7" spans="1:33" s="84" customFormat="1" ht="31.5" customHeight="1" x14ac:dyDescent="0.25">
      <c r="B7" s="263" t="s">
        <v>262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33" s="86" customFormat="1" ht="3.75" customHeight="1" x14ac:dyDescent="0.2">
      <c r="B8" s="87"/>
      <c r="C8" s="87"/>
      <c r="D8" s="88"/>
      <c r="E8" s="87"/>
      <c r="F8" s="89"/>
      <c r="G8" s="87"/>
      <c r="H8" s="88"/>
      <c r="I8" s="87"/>
      <c r="J8" s="87"/>
      <c r="K8" s="87"/>
    </row>
    <row r="9" spans="1:33" s="25" customFormat="1" ht="14.25" x14ac:dyDescent="0.2">
      <c r="A9" s="20"/>
      <c r="B9" s="21"/>
      <c r="C9" s="21"/>
      <c r="D9" s="22" t="s">
        <v>50</v>
      </c>
      <c r="E9" s="22"/>
      <c r="F9" s="23"/>
      <c r="G9" s="22"/>
      <c r="H9" s="22" t="s">
        <v>51</v>
      </c>
      <c r="I9" s="22"/>
      <c r="J9" s="24" t="s">
        <v>52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s="25" customFormat="1" ht="14.25" x14ac:dyDescent="0.2">
      <c r="A10" s="20"/>
      <c r="B10" s="26" t="s">
        <v>53</v>
      </c>
      <c r="C10" s="21"/>
      <c r="D10" s="22" t="s">
        <v>54</v>
      </c>
      <c r="E10" s="22"/>
      <c r="F10" s="23" t="s">
        <v>55</v>
      </c>
      <c r="G10" s="22"/>
      <c r="H10" s="22" t="s">
        <v>56</v>
      </c>
      <c r="I10" s="22"/>
      <c r="J10" s="24" t="s">
        <v>57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5.25" customHeight="1" x14ac:dyDescent="0.2">
      <c r="B11" s="27"/>
      <c r="C11" s="13"/>
      <c r="D11" s="27"/>
      <c r="E11" s="13"/>
      <c r="F11" s="28"/>
      <c r="G11" s="13"/>
      <c r="H11" s="27"/>
      <c r="I11" s="13"/>
      <c r="J11" s="29"/>
      <c r="K11" s="30"/>
    </row>
    <row r="12" spans="1:33" x14ac:dyDescent="0.2">
      <c r="B12" s="31" t="s">
        <v>58</v>
      </c>
      <c r="C12" s="32"/>
      <c r="D12" s="33"/>
      <c r="E12" s="32"/>
      <c r="F12" s="34"/>
      <c r="G12" s="32"/>
      <c r="H12" s="33"/>
      <c r="I12" s="32"/>
      <c r="J12" s="35"/>
    </row>
    <row r="13" spans="1:33" x14ac:dyDescent="0.2">
      <c r="B13" s="198" t="s">
        <v>208</v>
      </c>
      <c r="C13" s="36"/>
      <c r="D13" s="202">
        <v>375</v>
      </c>
      <c r="E13" s="36"/>
      <c r="F13" s="123" t="s">
        <v>101</v>
      </c>
      <c r="G13" s="36"/>
      <c r="H13" s="203">
        <v>7.34</v>
      </c>
      <c r="I13" s="36"/>
      <c r="J13" s="37">
        <f>D13*H13</f>
        <v>2752.5</v>
      </c>
      <c r="K13" s="38"/>
      <c r="M13" s="265"/>
      <c r="N13" s="265"/>
      <c r="O13" s="265"/>
      <c r="P13" s="265"/>
      <c r="Q13" s="265"/>
    </row>
    <row r="14" spans="1:33" x14ac:dyDescent="0.2">
      <c r="B14" s="36"/>
      <c r="C14" s="36"/>
      <c r="D14" s="39"/>
      <c r="E14" s="36"/>
      <c r="F14" s="40"/>
      <c r="G14" s="36"/>
      <c r="H14" s="41"/>
      <c r="I14" s="36"/>
      <c r="J14" s="49"/>
      <c r="K14" s="38"/>
      <c r="M14" s="287"/>
      <c r="N14" s="287"/>
      <c r="O14" s="287"/>
      <c r="P14" s="287"/>
      <c r="Q14" s="287"/>
      <c r="R14" s="287"/>
    </row>
    <row r="15" spans="1:33" x14ac:dyDescent="0.2">
      <c r="B15" s="31" t="s">
        <v>59</v>
      </c>
      <c r="C15" s="32"/>
      <c r="D15" s="33"/>
      <c r="E15" s="32"/>
      <c r="F15" s="34"/>
      <c r="G15" s="32"/>
      <c r="H15" s="42"/>
      <c r="I15" s="32"/>
      <c r="J15" s="49"/>
    </row>
    <row r="16" spans="1:33" ht="6.75" customHeight="1" x14ac:dyDescent="0.2">
      <c r="B16" s="32"/>
      <c r="C16" s="32"/>
      <c r="D16" s="33"/>
      <c r="E16" s="32"/>
      <c r="F16" s="34"/>
      <c r="G16" s="32"/>
      <c r="H16" s="42"/>
      <c r="I16" s="32"/>
      <c r="J16" s="49"/>
    </row>
    <row r="17" spans="1:33" ht="13.9" customHeight="1" x14ac:dyDescent="0.25">
      <c r="B17" s="53" t="s">
        <v>60</v>
      </c>
      <c r="C17" s="32"/>
      <c r="D17" s="43"/>
      <c r="E17" s="32"/>
      <c r="F17" s="34"/>
      <c r="G17" s="32"/>
      <c r="H17" s="42"/>
      <c r="I17" s="32"/>
      <c r="J17" s="97">
        <f>SUM(J18:J19)</f>
        <v>382.5</v>
      </c>
    </row>
    <row r="18" spans="1:33" x14ac:dyDescent="0.2">
      <c r="B18" s="93" t="s">
        <v>209</v>
      </c>
      <c r="C18" s="32"/>
      <c r="D18" s="206">
        <v>22.5</v>
      </c>
      <c r="E18" s="32"/>
      <c r="F18" s="46" t="s">
        <v>101</v>
      </c>
      <c r="G18" s="32"/>
      <c r="H18" s="210">
        <v>15</v>
      </c>
      <c r="I18" s="32"/>
      <c r="J18" s="49">
        <f>D18*H18</f>
        <v>337.5</v>
      </c>
    </row>
    <row r="19" spans="1:33" x14ac:dyDescent="0.2">
      <c r="B19" s="93" t="s">
        <v>153</v>
      </c>
      <c r="C19" s="32"/>
      <c r="D19" s="45">
        <v>22.5</v>
      </c>
      <c r="E19" s="32"/>
      <c r="F19" s="46" t="s">
        <v>101</v>
      </c>
      <c r="G19" s="32"/>
      <c r="H19" s="212">
        <v>2</v>
      </c>
      <c r="I19" s="32"/>
      <c r="J19" s="49">
        <f>D19*H19</f>
        <v>45</v>
      </c>
    </row>
    <row r="20" spans="1:33" ht="7.5" customHeight="1" x14ac:dyDescent="0.2">
      <c r="B20" s="32"/>
      <c r="C20" s="32"/>
      <c r="D20" s="33"/>
      <c r="E20" s="32"/>
      <c r="F20" s="34"/>
      <c r="G20" s="32"/>
      <c r="H20" s="42"/>
      <c r="I20" s="32"/>
      <c r="J20" s="49"/>
    </row>
    <row r="21" spans="1:33" x14ac:dyDescent="0.2">
      <c r="B21" s="53" t="s">
        <v>61</v>
      </c>
      <c r="C21" s="32"/>
      <c r="D21" s="33"/>
      <c r="E21" s="32"/>
      <c r="F21" s="34"/>
      <c r="G21" s="32"/>
      <c r="H21" s="42"/>
      <c r="I21" s="32"/>
      <c r="J21" s="97">
        <f>SUM(J22:J23)</f>
        <v>138.5</v>
      </c>
      <c r="M21" s="12"/>
    </row>
    <row r="22" spans="1:33" x14ac:dyDescent="0.2">
      <c r="B22" s="93" t="s">
        <v>104</v>
      </c>
      <c r="C22" s="32"/>
      <c r="D22" s="206">
        <v>4</v>
      </c>
      <c r="E22" s="32"/>
      <c r="F22" s="94" t="s">
        <v>96</v>
      </c>
      <c r="G22" s="32"/>
      <c r="H22" s="210">
        <v>20</v>
      </c>
      <c r="I22" s="32"/>
      <c r="J22" s="49">
        <f>D22*H22</f>
        <v>80</v>
      </c>
    </row>
    <row r="23" spans="1:33" x14ac:dyDescent="0.2">
      <c r="B23" s="93" t="s">
        <v>117</v>
      </c>
      <c r="C23" s="32"/>
      <c r="D23" s="206">
        <v>19.5</v>
      </c>
      <c r="E23" s="32"/>
      <c r="F23" s="94" t="s">
        <v>70</v>
      </c>
      <c r="G23" s="32"/>
      <c r="H23" s="210">
        <v>3</v>
      </c>
      <c r="I23" s="32"/>
      <c r="J23" s="49">
        <f>D23*H23</f>
        <v>58.5</v>
      </c>
    </row>
    <row r="24" spans="1:33" ht="4.5" customHeight="1" x14ac:dyDescent="0.2">
      <c r="B24" s="32"/>
      <c r="C24" s="32"/>
      <c r="D24" s="33"/>
      <c r="E24" s="32"/>
      <c r="F24" s="34"/>
      <c r="G24" s="32"/>
      <c r="H24" s="42"/>
      <c r="I24" s="32"/>
      <c r="J24" s="49"/>
    </row>
    <row r="25" spans="1:33" s="17" customFormat="1" x14ac:dyDescent="0.2">
      <c r="A25" s="16"/>
      <c r="B25" s="53" t="s">
        <v>62</v>
      </c>
      <c r="C25" s="53"/>
      <c r="D25" s="54"/>
      <c r="E25" s="53"/>
      <c r="F25" s="55"/>
      <c r="G25" s="53"/>
      <c r="H25" s="95"/>
      <c r="I25" s="53"/>
      <c r="J25" s="97">
        <f>SUM(J26:J26)</f>
        <v>96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B26" s="93" t="s">
        <v>242</v>
      </c>
      <c r="C26" s="32"/>
      <c r="D26" s="206">
        <v>3</v>
      </c>
      <c r="E26" s="32"/>
      <c r="F26" s="46" t="s">
        <v>63</v>
      </c>
      <c r="G26" s="32"/>
      <c r="H26" s="210">
        <v>32</v>
      </c>
      <c r="I26" s="32"/>
      <c r="J26" s="49">
        <f>D26*H26</f>
        <v>96</v>
      </c>
    </row>
    <row r="27" spans="1:33" ht="5.25" customHeight="1" x14ac:dyDescent="0.2">
      <c r="B27" s="32"/>
      <c r="C27" s="32"/>
      <c r="D27" s="96"/>
      <c r="E27" s="32"/>
      <c r="F27" s="34"/>
      <c r="G27" s="32"/>
      <c r="H27" s="95"/>
      <c r="I27" s="32"/>
      <c r="J27" s="49"/>
    </row>
    <row r="28" spans="1:33" s="17" customFormat="1" x14ac:dyDescent="0.2">
      <c r="A28" s="16"/>
      <c r="B28" s="53" t="s">
        <v>64</v>
      </c>
      <c r="C28" s="53"/>
      <c r="D28" s="96"/>
      <c r="E28" s="53"/>
      <c r="F28" s="55"/>
      <c r="G28" s="53"/>
      <c r="H28" s="95"/>
      <c r="I28" s="53"/>
      <c r="J28" s="97">
        <f>SUM(J29:J30)</f>
        <v>27.5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2">
      <c r="B29" s="93" t="s">
        <v>105</v>
      </c>
      <c r="C29" s="32"/>
      <c r="D29" s="45">
        <v>1</v>
      </c>
      <c r="E29" s="32"/>
      <c r="F29" s="46" t="s">
        <v>65</v>
      </c>
      <c r="G29" s="32"/>
      <c r="H29" s="168">
        <v>7.5</v>
      </c>
      <c r="I29" s="32"/>
      <c r="J29" s="49">
        <f>D29*H29</f>
        <v>7.5</v>
      </c>
    </row>
    <row r="30" spans="1:33" x14ac:dyDescent="0.2">
      <c r="B30" s="48" t="s">
        <v>154</v>
      </c>
      <c r="C30" s="32"/>
      <c r="D30" s="45">
        <v>1</v>
      </c>
      <c r="E30" s="32"/>
      <c r="F30" s="46" t="s">
        <v>65</v>
      </c>
      <c r="G30" s="32"/>
      <c r="H30" s="168">
        <v>20</v>
      </c>
      <c r="I30" s="32"/>
      <c r="J30" s="49">
        <f>D30*H30</f>
        <v>20</v>
      </c>
    </row>
    <row r="31" spans="1:33" ht="6" customHeight="1" x14ac:dyDescent="0.2">
      <c r="B31" s="32"/>
      <c r="C31" s="32"/>
      <c r="D31" s="33"/>
      <c r="E31" s="32"/>
      <c r="F31" s="34"/>
      <c r="G31" s="32"/>
      <c r="H31" s="42"/>
      <c r="I31" s="32"/>
      <c r="J31" s="49"/>
    </row>
    <row r="32" spans="1:33" s="17" customFormat="1" x14ac:dyDescent="0.2">
      <c r="A32" s="16"/>
      <c r="B32" s="53" t="s">
        <v>106</v>
      </c>
      <c r="C32" s="53"/>
      <c r="D32" s="96"/>
      <c r="E32" s="53"/>
      <c r="F32" s="55"/>
      <c r="G32" s="53"/>
      <c r="H32" s="95"/>
      <c r="I32" s="53"/>
      <c r="J32" s="97">
        <f>SUM(J33:J36)</f>
        <v>363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2">
      <c r="B33" s="81" t="s">
        <v>155</v>
      </c>
      <c r="C33" s="32"/>
      <c r="D33" s="45">
        <v>1</v>
      </c>
      <c r="E33" s="32"/>
      <c r="F33" s="46" t="s">
        <v>65</v>
      </c>
      <c r="G33" s="32"/>
      <c r="H33" s="210">
        <v>250</v>
      </c>
      <c r="I33" s="32"/>
      <c r="J33" s="49">
        <f>D33*H33</f>
        <v>250</v>
      </c>
    </row>
    <row r="34" spans="1:33" x14ac:dyDescent="0.2">
      <c r="B34" s="81" t="s">
        <v>97</v>
      </c>
      <c r="C34" s="32"/>
      <c r="D34" s="45">
        <v>1</v>
      </c>
      <c r="E34" s="32"/>
      <c r="F34" s="94" t="s">
        <v>65</v>
      </c>
      <c r="G34" s="32"/>
      <c r="H34" s="168">
        <v>43</v>
      </c>
      <c r="I34" s="32"/>
      <c r="J34" s="49">
        <f>D34*H34</f>
        <v>43</v>
      </c>
    </row>
    <row r="35" spans="1:33" x14ac:dyDescent="0.2">
      <c r="B35" s="81" t="s">
        <v>98</v>
      </c>
      <c r="C35" s="32"/>
      <c r="D35" s="45">
        <v>1</v>
      </c>
      <c r="E35" s="32"/>
      <c r="F35" s="94" t="s">
        <v>65</v>
      </c>
      <c r="G35" s="32"/>
      <c r="H35" s="168">
        <v>55</v>
      </c>
      <c r="I35" s="32"/>
      <c r="J35" s="49">
        <f>D35*H35</f>
        <v>55</v>
      </c>
    </row>
    <row r="36" spans="1:33" x14ac:dyDescent="0.2">
      <c r="B36" s="81" t="s">
        <v>99</v>
      </c>
      <c r="C36" s="32"/>
      <c r="D36" s="45">
        <v>1</v>
      </c>
      <c r="E36" s="32"/>
      <c r="F36" s="94" t="s">
        <v>65</v>
      </c>
      <c r="G36" s="32"/>
      <c r="H36" s="168">
        <v>15</v>
      </c>
      <c r="I36" s="32"/>
      <c r="J36" s="49">
        <f>D36*H36</f>
        <v>15</v>
      </c>
    </row>
    <row r="37" spans="1:33" ht="6" customHeight="1" x14ac:dyDescent="0.2">
      <c r="B37" s="32"/>
      <c r="C37" s="32"/>
      <c r="D37" s="33"/>
      <c r="E37" s="32"/>
      <c r="F37" s="34"/>
      <c r="G37" s="32"/>
      <c r="H37" s="42"/>
      <c r="I37" s="32"/>
      <c r="J37" s="49"/>
    </row>
    <row r="38" spans="1:33" s="17" customFormat="1" x14ac:dyDescent="0.2">
      <c r="A38" s="16"/>
      <c r="B38" s="53" t="s">
        <v>107</v>
      </c>
      <c r="C38" s="53"/>
      <c r="D38" s="96"/>
      <c r="E38" s="53"/>
      <c r="F38" s="55"/>
      <c r="G38" s="53"/>
      <c r="H38" s="95"/>
      <c r="I38" s="53"/>
      <c r="J38" s="97">
        <f>SUM(J39:J41)</f>
        <v>103.02606475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x14ac:dyDescent="0.2">
      <c r="B39" s="81" t="s">
        <v>69</v>
      </c>
      <c r="C39" s="32"/>
      <c r="D39" s="246">
        <f>'T8-T9 Mach. Costs, Large Farm'!L47</f>
        <v>19.692715000000003</v>
      </c>
      <c r="E39" s="32"/>
      <c r="F39" s="46" t="s">
        <v>70</v>
      </c>
      <c r="G39" s="32"/>
      <c r="H39" s="169">
        <v>2.65</v>
      </c>
      <c r="I39" s="32"/>
      <c r="J39" s="49">
        <f>D39*H39</f>
        <v>52.18569475000001</v>
      </c>
    </row>
    <row r="40" spans="1:33" x14ac:dyDescent="0.2">
      <c r="B40" s="81" t="s">
        <v>71</v>
      </c>
      <c r="C40" s="32"/>
      <c r="D40" s="45">
        <v>1</v>
      </c>
      <c r="E40" s="32"/>
      <c r="F40" s="46" t="s">
        <v>65</v>
      </c>
      <c r="G40" s="32"/>
      <c r="H40" s="204">
        <f>'T8-T9 Mach. Costs, Large Farm'!I47*0.15</f>
        <v>6.9503699999999995</v>
      </c>
      <c r="I40" s="32"/>
      <c r="J40" s="49">
        <f>D40*H40</f>
        <v>6.9503699999999995</v>
      </c>
    </row>
    <row r="41" spans="1:33" x14ac:dyDescent="0.2">
      <c r="B41" s="81" t="s">
        <v>72</v>
      </c>
      <c r="C41" s="32"/>
      <c r="D41" s="45">
        <v>1</v>
      </c>
      <c r="E41" s="32"/>
      <c r="F41" s="46" t="s">
        <v>65</v>
      </c>
      <c r="G41" s="32"/>
      <c r="H41" s="204">
        <f>'T8-T9 Mach. Costs, Large Farm'!G47</f>
        <v>43.889999999999993</v>
      </c>
      <c r="I41" s="32"/>
      <c r="J41" s="49">
        <f>D41*H41</f>
        <v>43.889999999999993</v>
      </c>
    </row>
    <row r="42" spans="1:33" ht="5.25" customHeight="1" x14ac:dyDescent="0.2">
      <c r="B42" s="32"/>
      <c r="C42" s="32"/>
      <c r="D42" s="33"/>
      <c r="E42" s="32"/>
      <c r="F42" s="34"/>
      <c r="G42" s="32"/>
      <c r="H42" s="42"/>
      <c r="I42" s="32"/>
      <c r="J42" s="49"/>
    </row>
    <row r="43" spans="1:33" s="17" customFormat="1" x14ac:dyDescent="0.2">
      <c r="A43" s="16"/>
      <c r="B43" s="53" t="s">
        <v>108</v>
      </c>
      <c r="C43" s="53"/>
      <c r="D43" s="96"/>
      <c r="E43" s="53"/>
      <c r="F43" s="55"/>
      <c r="G43" s="53"/>
      <c r="H43" s="95"/>
      <c r="I43" s="53"/>
      <c r="J43" s="97">
        <f>SUM(J44:J46)</f>
        <v>122.91115384615385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2">
      <c r="B44" s="196" t="s">
        <v>232</v>
      </c>
      <c r="C44" s="32"/>
      <c r="D44" s="45">
        <v>2.4</v>
      </c>
      <c r="E44" s="32"/>
      <c r="F44" s="46" t="s">
        <v>100</v>
      </c>
      <c r="G44" s="32"/>
      <c r="H44" s="207">
        <v>11.25</v>
      </c>
      <c r="I44" s="32"/>
      <c r="J44" s="49">
        <f>D44*H44</f>
        <v>27</v>
      </c>
    </row>
    <row r="45" spans="1:33" x14ac:dyDescent="0.2">
      <c r="B45" s="196" t="s">
        <v>207</v>
      </c>
      <c r="C45" s="32"/>
      <c r="D45" s="45">
        <v>1</v>
      </c>
      <c r="E45" s="32"/>
      <c r="F45" s="46" t="s">
        <v>65</v>
      </c>
      <c r="G45" s="32"/>
      <c r="H45" s="212">
        <v>50</v>
      </c>
      <c r="I45" s="32"/>
      <c r="J45" s="49">
        <f>D45*H45</f>
        <v>50</v>
      </c>
    </row>
    <row r="46" spans="1:33" x14ac:dyDescent="0.2">
      <c r="B46" s="48" t="s">
        <v>150</v>
      </c>
      <c r="C46" s="32"/>
      <c r="D46" s="205">
        <f>'T8-T9 Mach. Costs, Large Farm'!K47</f>
        <v>2.9057692307692311</v>
      </c>
      <c r="E46" s="32"/>
      <c r="F46" s="46" t="s">
        <v>100</v>
      </c>
      <c r="G46" s="32"/>
      <c r="H46" s="169">
        <v>15.8</v>
      </c>
      <c r="I46" s="32"/>
      <c r="J46" s="49">
        <f>D46*H46</f>
        <v>45.911153846153852</v>
      </c>
      <c r="K46" t="e">
        <f>#REF!</f>
        <v>#REF!</v>
      </c>
    </row>
    <row r="47" spans="1:33" ht="12.75" customHeight="1" x14ac:dyDescent="0.2">
      <c r="B47" s="32"/>
      <c r="C47" s="32"/>
      <c r="D47" s="33"/>
      <c r="E47" s="32"/>
      <c r="F47" s="34"/>
      <c r="G47" s="32"/>
      <c r="H47" s="42"/>
      <c r="I47" s="32"/>
      <c r="J47" s="49"/>
    </row>
    <row r="48" spans="1:33" ht="5.25" customHeight="1" x14ac:dyDescent="0.2">
      <c r="B48" s="32"/>
      <c r="C48" s="32"/>
      <c r="D48" s="33"/>
      <c r="E48" s="32"/>
      <c r="F48" s="34"/>
      <c r="G48" s="32"/>
      <c r="H48" s="42"/>
      <c r="I48" s="32"/>
      <c r="J48" s="49"/>
    </row>
    <row r="49" spans="1:33" s="17" customFormat="1" x14ac:dyDescent="0.2">
      <c r="A49" s="16"/>
      <c r="B49" s="53" t="s">
        <v>66</v>
      </c>
      <c r="C49" s="53"/>
      <c r="D49" s="54"/>
      <c r="E49" s="53"/>
      <c r="F49" s="55"/>
      <c r="G49" s="53"/>
      <c r="H49" s="95"/>
      <c r="I49" s="53"/>
      <c r="J49" s="97">
        <f>SUM(J50:J52)</f>
        <v>151.22186092980769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2">
      <c r="B50" s="81" t="s">
        <v>67</v>
      </c>
      <c r="C50" s="32"/>
      <c r="D50" s="45">
        <v>1</v>
      </c>
      <c r="E50" s="32"/>
      <c r="F50" s="46" t="s">
        <v>65</v>
      </c>
      <c r="G50" s="32"/>
      <c r="H50" s="168">
        <v>36</v>
      </c>
      <c r="I50" s="32"/>
      <c r="J50" s="49">
        <f>D50*H50</f>
        <v>36</v>
      </c>
    </row>
    <row r="51" spans="1:33" x14ac:dyDescent="0.2">
      <c r="B51" s="81" t="s">
        <v>68</v>
      </c>
      <c r="C51" s="32"/>
      <c r="D51" s="45">
        <v>1</v>
      </c>
      <c r="E51" s="32"/>
      <c r="F51" s="46" t="s">
        <v>65</v>
      </c>
      <c r="G51" s="32"/>
      <c r="H51" s="52">
        <f>(+J17+J21+J25+J28+J32+J43++J38+H50)*0.05</f>
        <v>63.47186092980769</v>
      </c>
      <c r="I51" s="32"/>
      <c r="J51" s="49">
        <f>+H51</f>
        <v>63.47186092980769</v>
      </c>
    </row>
    <row r="52" spans="1:33" x14ac:dyDescent="0.2">
      <c r="B52" s="81" t="s">
        <v>102</v>
      </c>
      <c r="C52" s="32"/>
      <c r="D52" s="45">
        <v>1</v>
      </c>
      <c r="E52" s="32"/>
      <c r="F52" s="46" t="s">
        <v>65</v>
      </c>
      <c r="G52" s="32"/>
      <c r="H52" s="52"/>
      <c r="I52" s="32"/>
      <c r="J52" s="49">
        <v>51.75</v>
      </c>
    </row>
    <row r="53" spans="1:33" x14ac:dyDescent="0.2">
      <c r="B53" s="32"/>
      <c r="C53" s="32"/>
      <c r="D53" s="33"/>
      <c r="E53" s="32"/>
      <c r="F53" s="34"/>
      <c r="G53" s="32"/>
      <c r="H53" s="33"/>
      <c r="I53" s="32"/>
      <c r="J53" s="49"/>
    </row>
    <row r="54" spans="1:33" x14ac:dyDescent="0.2">
      <c r="B54" s="32" t="s">
        <v>73</v>
      </c>
      <c r="C54" s="32"/>
      <c r="D54" s="33"/>
      <c r="E54" s="32"/>
      <c r="F54" s="34"/>
      <c r="G54" s="32"/>
      <c r="H54" s="33"/>
      <c r="I54" s="32"/>
      <c r="J54" s="49">
        <f>+(J17+J21+J25+J28+J32+J43+J38+J49-H51)*0.075*0.5</f>
        <v>49.544520697355765</v>
      </c>
    </row>
    <row r="55" spans="1:33" ht="5.25" customHeight="1" x14ac:dyDescent="0.2">
      <c r="B55" s="32"/>
      <c r="C55" s="32"/>
      <c r="D55" s="33"/>
      <c r="E55" s="32"/>
      <c r="F55" s="34"/>
      <c r="G55" s="32"/>
      <c r="H55" s="33"/>
      <c r="I55" s="32"/>
      <c r="J55" s="49"/>
    </row>
    <row r="56" spans="1:33" x14ac:dyDescent="0.2">
      <c r="B56" s="53" t="s">
        <v>74</v>
      </c>
      <c r="C56" s="53"/>
      <c r="D56" s="54"/>
      <c r="E56" s="53"/>
      <c r="F56" s="55"/>
      <c r="G56" s="53"/>
      <c r="H56" s="54"/>
      <c r="I56" s="53"/>
      <c r="J56" s="56">
        <f>SUM(J17:J54)-(J17+J21+J25+J28+J32+J43+J38+J49)</f>
        <v>1434.2036002233178</v>
      </c>
    </row>
    <row r="57" spans="1:33" x14ac:dyDescent="0.2">
      <c r="B57" s="32" t="s">
        <v>75</v>
      </c>
      <c r="C57" s="32"/>
      <c r="D57" s="33"/>
      <c r="E57" s="32"/>
      <c r="F57" s="34"/>
      <c r="G57" s="32"/>
      <c r="H57" s="33"/>
      <c r="I57" s="32"/>
      <c r="J57" s="49">
        <f>J56/D13</f>
        <v>3.8245429339288477</v>
      </c>
    </row>
    <row r="58" spans="1:33" ht="5.25" customHeight="1" x14ac:dyDescent="0.2">
      <c r="B58" s="32"/>
      <c r="C58" s="32"/>
      <c r="D58" s="33"/>
      <c r="E58" s="32"/>
      <c r="F58" s="34"/>
      <c r="G58" s="32"/>
      <c r="H58" s="33"/>
      <c r="I58" s="32"/>
      <c r="J58" s="49"/>
    </row>
    <row r="59" spans="1:33" s="17" customFormat="1" x14ac:dyDescent="0.2">
      <c r="A59" s="16"/>
      <c r="B59" s="3" t="s">
        <v>76</v>
      </c>
      <c r="C59" s="3"/>
      <c r="D59" s="57"/>
      <c r="E59" s="3"/>
      <c r="F59" s="58"/>
      <c r="G59" s="3"/>
      <c r="H59" s="57"/>
      <c r="I59" s="3"/>
      <c r="J59" s="59">
        <f>J13-J56</f>
        <v>1318.2963997766822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s="84" customFormat="1" ht="31.5" customHeight="1" x14ac:dyDescent="0.25">
      <c r="B60" s="263" t="s">
        <v>217</v>
      </c>
      <c r="C60" s="264"/>
      <c r="D60" s="264"/>
      <c r="E60" s="264"/>
      <c r="F60" s="264"/>
      <c r="G60" s="264"/>
      <c r="H60" s="264"/>
      <c r="I60" s="264"/>
      <c r="J60" s="264"/>
      <c r="K60" s="264"/>
    </row>
    <row r="61" spans="1:33" s="86" customFormat="1" ht="3.75" customHeight="1" x14ac:dyDescent="0.2">
      <c r="B61" s="87"/>
      <c r="C61" s="87"/>
      <c r="D61" s="88"/>
      <c r="E61" s="87"/>
      <c r="F61" s="89"/>
      <c r="G61" s="87"/>
      <c r="H61" s="88"/>
      <c r="I61" s="87"/>
      <c r="J61" s="87"/>
      <c r="K61" s="87"/>
    </row>
    <row r="62" spans="1:33" s="25" customFormat="1" ht="14.25" x14ac:dyDescent="0.2">
      <c r="A62" s="20"/>
      <c r="B62" s="21"/>
      <c r="C62" s="21"/>
      <c r="D62" s="22" t="s">
        <v>50</v>
      </c>
      <c r="E62" s="22"/>
      <c r="F62" s="23"/>
      <c r="G62" s="22"/>
      <c r="H62" s="22" t="s">
        <v>51</v>
      </c>
      <c r="I62" s="22"/>
      <c r="J62" s="24" t="s">
        <v>52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s="25" customFormat="1" ht="14.25" x14ac:dyDescent="0.2">
      <c r="A63" s="20"/>
      <c r="B63" s="26" t="s">
        <v>53</v>
      </c>
      <c r="C63" s="21"/>
      <c r="D63" s="22" t="s">
        <v>54</v>
      </c>
      <c r="E63" s="22"/>
      <c r="F63" s="23" t="s">
        <v>55</v>
      </c>
      <c r="G63" s="22"/>
      <c r="H63" s="22" t="s">
        <v>56</v>
      </c>
      <c r="I63" s="22"/>
      <c r="J63" s="24" t="s">
        <v>57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ht="5.25" customHeight="1" x14ac:dyDescent="0.2">
      <c r="B64" s="27"/>
      <c r="C64" s="13"/>
      <c r="D64" s="27"/>
      <c r="E64" s="13"/>
      <c r="F64" s="28"/>
      <c r="G64" s="13"/>
      <c r="H64" s="27"/>
      <c r="I64" s="13"/>
      <c r="J64" s="29"/>
      <c r="K64" s="30"/>
    </row>
    <row r="65" spans="1:33" ht="25.15" customHeight="1" x14ac:dyDescent="0.2">
      <c r="B65" s="31" t="s">
        <v>77</v>
      </c>
      <c r="C65" s="32"/>
      <c r="D65" s="33"/>
      <c r="E65" s="32"/>
      <c r="F65" s="34"/>
      <c r="G65" s="32"/>
      <c r="H65" s="33"/>
      <c r="I65" s="32"/>
      <c r="J65" s="49"/>
    </row>
    <row r="66" spans="1:33" x14ac:dyDescent="0.2">
      <c r="B66" s="93" t="s">
        <v>78</v>
      </c>
      <c r="C66" s="32"/>
      <c r="D66" s="45">
        <v>1</v>
      </c>
      <c r="E66" s="32"/>
      <c r="F66" s="46" t="s">
        <v>65</v>
      </c>
      <c r="G66" s="32"/>
      <c r="H66" s="204">
        <f>'T8-T9 Mach. Costs, Large Farm'!$C$47</f>
        <v>53.932000000000002</v>
      </c>
      <c r="I66" s="32"/>
      <c r="J66" s="49">
        <f>D66*H66</f>
        <v>53.932000000000002</v>
      </c>
    </row>
    <row r="67" spans="1:33" x14ac:dyDescent="0.2">
      <c r="B67" s="93" t="s">
        <v>79</v>
      </c>
      <c r="C67" s="32"/>
      <c r="D67" s="45">
        <v>1</v>
      </c>
      <c r="E67" s="32"/>
      <c r="F67" s="46" t="s">
        <v>65</v>
      </c>
      <c r="G67" s="32"/>
      <c r="H67" s="204">
        <f>'T8-T9 Mach. Costs, Large Farm'!$D$47</f>
        <v>38.380000000000003</v>
      </c>
      <c r="I67" s="32"/>
      <c r="J67" s="49">
        <f>D67*H67</f>
        <v>38.380000000000003</v>
      </c>
    </row>
    <row r="68" spans="1:33" x14ac:dyDescent="0.2">
      <c r="B68" s="93" t="s">
        <v>193</v>
      </c>
      <c r="C68" s="32"/>
      <c r="D68" s="45">
        <v>1</v>
      </c>
      <c r="E68" s="32"/>
      <c r="F68" s="46" t="s">
        <v>65</v>
      </c>
      <c r="G68" s="32"/>
      <c r="H68" s="204">
        <f>'T8-T9 Mach. Costs, Large Farm'!$E$47</f>
        <v>15.311999999999999</v>
      </c>
      <c r="I68" s="32"/>
      <c r="J68" s="49">
        <f>D68*H68</f>
        <v>15.311999999999999</v>
      </c>
    </row>
    <row r="69" spans="1:33" x14ac:dyDescent="0.2">
      <c r="B69" s="44" t="s">
        <v>95</v>
      </c>
      <c r="C69" s="32"/>
      <c r="D69" s="45">
        <v>1</v>
      </c>
      <c r="E69" s="32"/>
      <c r="F69" s="46" t="s">
        <v>65</v>
      </c>
      <c r="G69" s="32"/>
      <c r="H69" s="168">
        <v>250</v>
      </c>
      <c r="I69" s="32"/>
      <c r="J69" s="49">
        <f>+H69</f>
        <v>250</v>
      </c>
    </row>
    <row r="70" spans="1:33" ht="8.25" customHeight="1" x14ac:dyDescent="0.2">
      <c r="B70" s="32"/>
      <c r="C70" s="32"/>
      <c r="D70" s="33"/>
      <c r="E70" s="32"/>
      <c r="F70" s="34"/>
      <c r="G70" s="32"/>
      <c r="H70" s="33"/>
      <c r="I70" s="32"/>
      <c r="J70" s="49"/>
    </row>
    <row r="71" spans="1:33" x14ac:dyDescent="0.2">
      <c r="B71" s="53" t="s">
        <v>80</v>
      </c>
      <c r="C71" s="53"/>
      <c r="D71" s="54"/>
      <c r="E71" s="53"/>
      <c r="F71" s="55"/>
      <c r="G71" s="53"/>
      <c r="H71" s="54"/>
      <c r="I71" s="53"/>
      <c r="J71" s="56">
        <f>SUM(J65:J69)</f>
        <v>357.62400000000002</v>
      </c>
    </row>
    <row r="72" spans="1:33" x14ac:dyDescent="0.2">
      <c r="B72" s="32" t="s">
        <v>81</v>
      </c>
      <c r="C72" s="32"/>
      <c r="D72" s="33"/>
      <c r="E72" s="32"/>
      <c r="F72" s="34"/>
      <c r="G72" s="32"/>
      <c r="H72" s="33"/>
      <c r="I72" s="32"/>
      <c r="J72" s="49">
        <f>J71/D13</f>
        <v>0.95366400000000007</v>
      </c>
    </row>
    <row r="73" spans="1:33" ht="8.25" customHeight="1" x14ac:dyDescent="0.2">
      <c r="B73" s="32"/>
      <c r="C73" s="32"/>
      <c r="D73" s="33"/>
      <c r="E73" s="32"/>
      <c r="F73" s="34"/>
      <c r="G73" s="32"/>
      <c r="H73" s="33"/>
      <c r="I73" s="32"/>
      <c r="J73" s="49"/>
    </row>
    <row r="74" spans="1:33" x14ac:dyDescent="0.2">
      <c r="B74" s="53" t="s">
        <v>82</v>
      </c>
      <c r="C74" s="53"/>
      <c r="D74" s="54"/>
      <c r="E74" s="53"/>
      <c r="F74" s="55"/>
      <c r="G74" s="53"/>
      <c r="H74" s="54"/>
      <c r="I74" s="53"/>
      <c r="J74" s="56">
        <f>J56+J71</f>
        <v>1791.8276002233179</v>
      </c>
    </row>
    <row r="75" spans="1:33" s="15" customFormat="1" x14ac:dyDescent="0.2">
      <c r="A75" s="14"/>
      <c r="B75" s="60" t="s">
        <v>83</v>
      </c>
      <c r="C75" s="60"/>
      <c r="D75" s="61"/>
      <c r="E75" s="60"/>
      <c r="F75" s="62"/>
      <c r="G75" s="60"/>
      <c r="H75" s="61"/>
      <c r="I75" s="60"/>
      <c r="J75" s="49">
        <f>J74/D13</f>
        <v>4.778206933928848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ht="8.25" customHeight="1" x14ac:dyDescent="0.2">
      <c r="B76" s="32"/>
      <c r="C76" s="32"/>
      <c r="D76" s="33"/>
      <c r="E76" s="32"/>
      <c r="F76" s="34"/>
      <c r="G76" s="32"/>
      <c r="H76" s="33"/>
      <c r="I76" s="32"/>
      <c r="J76" s="49"/>
    </row>
    <row r="77" spans="1:33" s="17" customFormat="1" x14ac:dyDescent="0.2">
      <c r="A77" s="16"/>
      <c r="B77" s="53" t="s">
        <v>84</v>
      </c>
      <c r="C77" s="53"/>
      <c r="D77" s="54"/>
      <c r="E77" s="53"/>
      <c r="F77" s="55"/>
      <c r="G77" s="53"/>
      <c r="H77" s="54"/>
      <c r="I77" s="53"/>
      <c r="J77" s="56">
        <f>J13-J74</f>
        <v>960.67239977668214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 ht="8.25" customHeight="1" x14ac:dyDescent="0.2">
      <c r="B78" s="32"/>
      <c r="C78" s="32"/>
      <c r="D78" s="33"/>
      <c r="E78" s="32"/>
      <c r="F78" s="34"/>
      <c r="G78" s="32"/>
      <c r="H78" s="33"/>
      <c r="I78" s="32"/>
      <c r="J78" s="49"/>
    </row>
    <row r="79" spans="1:33" x14ac:dyDescent="0.2">
      <c r="B79" s="63" t="s">
        <v>85</v>
      </c>
      <c r="C79" s="63"/>
      <c r="D79" s="64"/>
      <c r="E79" s="63"/>
      <c r="F79" s="65"/>
      <c r="G79" s="63"/>
      <c r="H79" s="64"/>
      <c r="I79" s="63"/>
      <c r="J79" s="63"/>
      <c r="K79" s="38"/>
    </row>
    <row r="80" spans="1:33" x14ac:dyDescent="0.2">
      <c r="B80" s="262" t="s">
        <v>151</v>
      </c>
      <c r="C80" s="262"/>
      <c r="D80" s="262"/>
      <c r="E80" s="262"/>
      <c r="F80" s="262"/>
      <c r="G80" s="262"/>
      <c r="H80" s="262"/>
      <c r="I80" s="262"/>
      <c r="J80" s="262"/>
    </row>
    <row r="81" spans="2:10" x14ac:dyDescent="0.2">
      <c r="B81" s="262"/>
      <c r="C81" s="262"/>
      <c r="D81" s="262"/>
      <c r="E81" s="262"/>
      <c r="F81" s="262"/>
      <c r="G81" s="262"/>
      <c r="H81" s="262"/>
      <c r="I81" s="262"/>
      <c r="J81" s="262"/>
    </row>
    <row r="82" spans="2:10" x14ac:dyDescent="0.2">
      <c r="B82" s="262"/>
      <c r="C82" s="262"/>
      <c r="D82" s="262"/>
      <c r="E82" s="262"/>
      <c r="F82" s="262"/>
      <c r="G82" s="262"/>
      <c r="H82" s="262"/>
      <c r="I82" s="262"/>
      <c r="J82" s="262"/>
    </row>
    <row r="83" spans="2:10" x14ac:dyDescent="0.2">
      <c r="B83" s="262"/>
      <c r="C83" s="262"/>
      <c r="D83" s="262"/>
      <c r="E83" s="262"/>
      <c r="F83" s="262"/>
      <c r="G83" s="262"/>
      <c r="H83" s="262"/>
      <c r="I83" s="262"/>
      <c r="J83" s="262"/>
    </row>
    <row r="84" spans="2:10" x14ac:dyDescent="0.2">
      <c r="B84" s="262"/>
      <c r="C84" s="262"/>
      <c r="D84" s="262"/>
      <c r="E84" s="262"/>
      <c r="F84" s="262"/>
      <c r="G84" s="262"/>
      <c r="H84" s="262"/>
      <c r="I84" s="262"/>
      <c r="J84" s="262"/>
    </row>
    <row r="85" spans="2:10" x14ac:dyDescent="0.2">
      <c r="B85" s="32"/>
      <c r="C85" s="32"/>
      <c r="D85" s="33"/>
      <c r="E85" s="32"/>
      <c r="F85" s="34"/>
      <c r="G85" s="32"/>
      <c r="H85" s="33"/>
      <c r="I85" s="32"/>
      <c r="J85" s="32"/>
    </row>
    <row r="86" spans="2:10" x14ac:dyDescent="0.2">
      <c r="B86" s="66" t="s">
        <v>86</v>
      </c>
      <c r="C86" s="32"/>
      <c r="D86" s="67" t="s">
        <v>87</v>
      </c>
      <c r="E86" s="32"/>
      <c r="F86" s="34" t="s">
        <v>88</v>
      </c>
      <c r="G86" s="32"/>
      <c r="H86" s="67" t="s">
        <v>89</v>
      </c>
      <c r="I86" s="32"/>
      <c r="J86" s="32"/>
    </row>
    <row r="87" spans="2:10" x14ac:dyDescent="0.2">
      <c r="B87" s="32"/>
      <c r="C87" s="32"/>
      <c r="D87" s="68">
        <v>0.1</v>
      </c>
      <c r="E87" s="32"/>
      <c r="F87" s="34"/>
      <c r="G87" s="32"/>
      <c r="H87" s="68">
        <v>0.1</v>
      </c>
      <c r="I87" s="32"/>
      <c r="J87" s="32"/>
    </row>
    <row r="88" spans="2:10" x14ac:dyDescent="0.2">
      <c r="B88" s="32"/>
      <c r="C88" s="32"/>
      <c r="D88" s="69"/>
      <c r="E88" s="13"/>
      <c r="F88" s="27" t="s">
        <v>90</v>
      </c>
      <c r="G88" s="13"/>
      <c r="H88" s="69"/>
      <c r="I88" s="32"/>
      <c r="J88" s="32"/>
    </row>
    <row r="89" spans="2:10" x14ac:dyDescent="0.2">
      <c r="B89" s="70" t="s">
        <v>91</v>
      </c>
      <c r="C89" s="32"/>
      <c r="D89" s="71">
        <f>F89*(1-D87)</f>
        <v>337.5</v>
      </c>
      <c r="E89" s="72"/>
      <c r="F89" s="73">
        <f>D13</f>
        <v>375</v>
      </c>
      <c r="G89" s="72"/>
      <c r="H89" s="74">
        <f>F89*1.05</f>
        <v>393.75</v>
      </c>
      <c r="I89" s="32"/>
      <c r="J89" s="32"/>
    </row>
    <row r="90" spans="2:10" ht="4.5" customHeight="1" x14ac:dyDescent="0.2">
      <c r="B90" s="32"/>
      <c r="C90" s="32"/>
      <c r="D90" s="33"/>
      <c r="E90" s="32"/>
      <c r="F90" s="34"/>
      <c r="G90" s="32"/>
      <c r="H90" s="33"/>
      <c r="I90" s="32"/>
      <c r="J90" s="32"/>
    </row>
    <row r="91" spans="2:10" x14ac:dyDescent="0.2">
      <c r="B91" s="32" t="s">
        <v>92</v>
      </c>
      <c r="C91" s="32"/>
      <c r="D91" s="75">
        <f>$J$56/D89</f>
        <v>4.2494921488098303</v>
      </c>
      <c r="E91" s="32"/>
      <c r="F91" s="75">
        <f>$J$56/F89</f>
        <v>3.8245429339288477</v>
      </c>
      <c r="G91" s="32"/>
      <c r="H91" s="75">
        <f>$J$56/H89</f>
        <v>3.6424218418369976</v>
      </c>
      <c r="I91" s="32"/>
      <c r="J91" s="32"/>
    </row>
    <row r="92" spans="2:10" ht="4.5" customHeight="1" x14ac:dyDescent="0.2">
      <c r="B92" s="32"/>
      <c r="C92" s="32"/>
      <c r="D92" s="33"/>
      <c r="E92" s="32"/>
      <c r="F92" s="34"/>
      <c r="G92" s="32"/>
      <c r="H92" s="33"/>
      <c r="I92" s="32"/>
      <c r="J92" s="32"/>
    </row>
    <row r="93" spans="2:10" x14ac:dyDescent="0.2">
      <c r="B93" s="32" t="s">
        <v>93</v>
      </c>
      <c r="C93" s="32"/>
      <c r="D93" s="75">
        <f>$J$71/D89</f>
        <v>1.0596266666666667</v>
      </c>
      <c r="E93" s="32"/>
      <c r="F93" s="75">
        <f>$J$71/F89</f>
        <v>0.95366400000000007</v>
      </c>
      <c r="G93" s="32"/>
      <c r="H93" s="75">
        <f>$J$71/H89</f>
        <v>0.9082514285714286</v>
      </c>
      <c r="I93" s="32"/>
      <c r="J93" s="32"/>
    </row>
    <row r="94" spans="2:10" ht="3.75" customHeight="1" x14ac:dyDescent="0.2">
      <c r="B94" s="32"/>
      <c r="C94" s="32"/>
      <c r="D94" s="33"/>
      <c r="E94" s="32"/>
      <c r="F94" s="34"/>
      <c r="G94" s="32"/>
      <c r="H94" s="33"/>
      <c r="I94" s="32"/>
      <c r="J94" s="32"/>
    </row>
    <row r="95" spans="2:10" x14ac:dyDescent="0.2">
      <c r="B95" s="32" t="s">
        <v>94</v>
      </c>
      <c r="C95" s="32"/>
      <c r="D95" s="75">
        <f>$J$74/D89</f>
        <v>5.3091188154764977</v>
      </c>
      <c r="E95" s="32"/>
      <c r="F95" s="75">
        <f>$J$74/F89</f>
        <v>4.778206933928848</v>
      </c>
      <c r="G95" s="32"/>
      <c r="H95" s="75">
        <f>$J$74/H89</f>
        <v>4.5506732704084261</v>
      </c>
      <c r="I95" s="32"/>
      <c r="J95" s="32"/>
    </row>
    <row r="96" spans="2:10" ht="5.25" customHeight="1" x14ac:dyDescent="0.2">
      <c r="B96" s="36"/>
      <c r="C96" s="36"/>
      <c r="D96" s="39"/>
      <c r="E96" s="36"/>
      <c r="F96" s="40"/>
      <c r="G96" s="36"/>
      <c r="H96" s="39"/>
      <c r="I96" s="36"/>
      <c r="J96" s="36"/>
    </row>
    <row r="97" spans="2:10" x14ac:dyDescent="0.2">
      <c r="B97" s="32"/>
      <c r="C97" s="32"/>
      <c r="D97" s="33"/>
      <c r="E97" s="32"/>
      <c r="F97" s="34"/>
      <c r="G97" s="32"/>
      <c r="H97" s="33"/>
      <c r="I97" s="32"/>
      <c r="J97" s="32"/>
    </row>
    <row r="98" spans="2:10" x14ac:dyDescent="0.2">
      <c r="B98" s="32"/>
      <c r="C98" s="32"/>
      <c r="D98" s="27"/>
      <c r="E98" s="13"/>
      <c r="F98" s="28" t="s">
        <v>91</v>
      </c>
      <c r="G98" s="13"/>
      <c r="H98" s="27"/>
      <c r="I98" s="32"/>
      <c r="J98" s="32"/>
    </row>
    <row r="99" spans="2:10" x14ac:dyDescent="0.2">
      <c r="B99" s="70" t="s">
        <v>90</v>
      </c>
      <c r="C99" s="32"/>
      <c r="D99" s="76">
        <f>F99*(1-D87)</f>
        <v>6.6059999999999999</v>
      </c>
      <c r="E99" s="72"/>
      <c r="F99" s="77">
        <f>H13</f>
        <v>7.34</v>
      </c>
      <c r="G99" s="72"/>
      <c r="H99" s="76">
        <f>F99*(1+H87)</f>
        <v>8.0739999999999998</v>
      </c>
      <c r="I99" s="32"/>
      <c r="J99" s="32"/>
    </row>
    <row r="100" spans="2:10" ht="4.5" customHeight="1" x14ac:dyDescent="0.2">
      <c r="B100" s="32"/>
      <c r="C100" s="32"/>
      <c r="D100" s="33"/>
      <c r="E100" s="32"/>
      <c r="F100" s="34"/>
      <c r="G100" s="32"/>
      <c r="H100" s="33"/>
      <c r="I100" s="32"/>
      <c r="J100" s="32"/>
    </row>
    <row r="101" spans="2:10" x14ac:dyDescent="0.2">
      <c r="B101" s="32" t="s">
        <v>92</v>
      </c>
      <c r="C101" s="32"/>
      <c r="D101" s="78">
        <f>$J$56/D99</f>
        <v>217.10620651276383</v>
      </c>
      <c r="E101" s="32"/>
      <c r="F101" s="78">
        <f>$J$56/F99</f>
        <v>195.39558586148746</v>
      </c>
      <c r="G101" s="32"/>
      <c r="H101" s="78">
        <f>$J$56/H99</f>
        <v>177.63235078317041</v>
      </c>
      <c r="I101" s="32"/>
      <c r="J101" s="32"/>
    </row>
    <row r="102" spans="2:10" ht="3" customHeight="1" x14ac:dyDescent="0.2">
      <c r="B102" s="32"/>
      <c r="C102" s="32"/>
      <c r="D102" s="33"/>
      <c r="E102" s="32"/>
      <c r="F102" s="34"/>
      <c r="G102" s="32"/>
      <c r="H102" s="33"/>
      <c r="I102" s="32"/>
      <c r="J102" s="32"/>
    </row>
    <row r="103" spans="2:10" x14ac:dyDescent="0.2">
      <c r="B103" s="32" t="s">
        <v>93</v>
      </c>
      <c r="C103" s="32"/>
      <c r="D103" s="78">
        <f>$J$71/D99</f>
        <v>54.136239782016354</v>
      </c>
      <c r="E103" s="32"/>
      <c r="F103" s="78">
        <f>$J$71/F99</f>
        <v>48.722615803814719</v>
      </c>
      <c r="G103" s="32"/>
      <c r="H103" s="78">
        <f>$J$71/H99</f>
        <v>44.293287094377014</v>
      </c>
      <c r="I103" s="32"/>
      <c r="J103" s="32"/>
    </row>
    <row r="104" spans="2:10" ht="3.75" customHeight="1" x14ac:dyDescent="0.2">
      <c r="B104" s="32"/>
      <c r="C104" s="32"/>
      <c r="D104" s="33"/>
      <c r="E104" s="32"/>
      <c r="F104" s="34"/>
      <c r="G104" s="32"/>
      <c r="H104" s="33"/>
      <c r="I104" s="32"/>
      <c r="J104" s="32"/>
    </row>
    <row r="105" spans="2:10" x14ac:dyDescent="0.2">
      <c r="B105" s="32" t="s">
        <v>94</v>
      </c>
      <c r="C105" s="32"/>
      <c r="D105" s="78">
        <f>$J$74/D99</f>
        <v>271.24244629478017</v>
      </c>
      <c r="E105" s="32"/>
      <c r="F105" s="78">
        <f>$J$74/F99</f>
        <v>244.11820166530217</v>
      </c>
      <c r="G105" s="32"/>
      <c r="H105" s="78">
        <f>$J$74/H99</f>
        <v>221.92563787754742</v>
      </c>
      <c r="I105" s="32"/>
      <c r="J105" s="32"/>
    </row>
    <row r="106" spans="2:10" ht="5.25" customHeight="1" x14ac:dyDescent="0.2">
      <c r="B106" s="32"/>
      <c r="C106" s="32"/>
      <c r="D106" s="33"/>
      <c r="E106" s="32"/>
      <c r="F106" s="34"/>
      <c r="G106" s="32"/>
      <c r="H106" s="33"/>
      <c r="I106" s="32"/>
      <c r="J106" s="32"/>
    </row>
    <row r="107" spans="2:10" x14ac:dyDescent="0.2">
      <c r="B107" s="13"/>
      <c r="C107" s="13"/>
      <c r="D107" s="27"/>
      <c r="E107" s="13"/>
      <c r="F107" s="28"/>
      <c r="G107" s="13"/>
      <c r="H107" s="27"/>
      <c r="I107" s="13"/>
      <c r="J107" s="13"/>
    </row>
    <row r="108" spans="2:10" s="8" customFormat="1" x14ac:dyDescent="0.2">
      <c r="D108" s="18"/>
      <c r="F108" s="19"/>
      <c r="H108" s="18"/>
    </row>
    <row r="109" spans="2:10" s="8" customFormat="1" x14ac:dyDescent="0.2">
      <c r="D109" s="18"/>
      <c r="F109" s="19"/>
      <c r="H109" s="18"/>
    </row>
    <row r="110" spans="2:10" s="8" customFormat="1" x14ac:dyDescent="0.2">
      <c r="D110" s="18"/>
      <c r="F110" s="19"/>
      <c r="H110" s="18"/>
    </row>
    <row r="111" spans="2:10" s="8" customFormat="1" x14ac:dyDescent="0.2">
      <c r="D111" s="18"/>
      <c r="F111" s="19"/>
      <c r="H111" s="18"/>
    </row>
    <row r="112" spans="2:10" s="8" customFormat="1" x14ac:dyDescent="0.2">
      <c r="D112" s="18"/>
      <c r="F112" s="19"/>
      <c r="H112" s="18"/>
    </row>
    <row r="113" spans="4:8" s="8" customFormat="1" x14ac:dyDescent="0.2">
      <c r="D113" s="18"/>
      <c r="F113" s="19"/>
      <c r="H113" s="18"/>
    </row>
    <row r="114" spans="4:8" s="8" customFormat="1" x14ac:dyDescent="0.2">
      <c r="D114" s="18"/>
      <c r="F114" s="19"/>
      <c r="H114" s="18"/>
    </row>
    <row r="115" spans="4:8" s="8" customFormat="1" x14ac:dyDescent="0.2">
      <c r="D115" s="18"/>
      <c r="F115" s="19"/>
      <c r="H115" s="18"/>
    </row>
    <row r="116" spans="4:8" s="8" customFormat="1" x14ac:dyDescent="0.2">
      <c r="D116" s="18"/>
      <c r="F116" s="19"/>
      <c r="H116" s="18"/>
    </row>
    <row r="117" spans="4:8" s="8" customFormat="1" x14ac:dyDescent="0.2">
      <c r="D117" s="18"/>
      <c r="F117" s="19"/>
      <c r="H117" s="18"/>
    </row>
    <row r="118" spans="4:8" s="8" customFormat="1" x14ac:dyDescent="0.2">
      <c r="D118" s="18"/>
      <c r="F118" s="19"/>
      <c r="H118" s="18"/>
    </row>
    <row r="119" spans="4:8" s="8" customFormat="1" x14ac:dyDescent="0.2">
      <c r="D119" s="18"/>
      <c r="F119" s="19"/>
      <c r="H119" s="18"/>
    </row>
    <row r="120" spans="4:8" s="8" customFormat="1" x14ac:dyDescent="0.2">
      <c r="D120" s="18"/>
      <c r="F120" s="19"/>
      <c r="H120" s="18"/>
    </row>
    <row r="121" spans="4:8" s="8" customFormat="1" x14ac:dyDescent="0.2">
      <c r="D121" s="18"/>
      <c r="F121" s="19"/>
      <c r="H121" s="18"/>
    </row>
    <row r="122" spans="4:8" s="8" customFormat="1" x14ac:dyDescent="0.2">
      <c r="D122" s="18"/>
      <c r="F122" s="19"/>
      <c r="H122" s="18"/>
    </row>
    <row r="123" spans="4:8" s="8" customFormat="1" x14ac:dyDescent="0.2">
      <c r="D123" s="18"/>
      <c r="F123" s="19"/>
      <c r="H123" s="18"/>
    </row>
    <row r="124" spans="4:8" s="8" customFormat="1" x14ac:dyDescent="0.2">
      <c r="D124" s="18"/>
      <c r="F124" s="19"/>
      <c r="H124" s="18"/>
    </row>
    <row r="125" spans="4:8" s="8" customFormat="1" x14ac:dyDescent="0.2">
      <c r="D125" s="18"/>
      <c r="F125" s="19"/>
      <c r="H125" s="18"/>
    </row>
    <row r="126" spans="4:8" s="8" customFormat="1" x14ac:dyDescent="0.2">
      <c r="D126" s="18"/>
      <c r="F126" s="19"/>
      <c r="H126" s="18"/>
    </row>
    <row r="127" spans="4:8" s="8" customFormat="1" x14ac:dyDescent="0.2">
      <c r="D127" s="18"/>
      <c r="F127" s="19"/>
      <c r="H127" s="18"/>
    </row>
    <row r="128" spans="4:8" s="8" customFormat="1" x14ac:dyDescent="0.2">
      <c r="D128" s="18"/>
      <c r="F128" s="19"/>
      <c r="H128" s="18"/>
    </row>
    <row r="129" spans="4:8" s="8" customFormat="1" x14ac:dyDescent="0.2">
      <c r="D129" s="18"/>
      <c r="F129" s="19"/>
      <c r="H129" s="18"/>
    </row>
    <row r="130" spans="4:8" s="8" customFormat="1" x14ac:dyDescent="0.2">
      <c r="D130" s="18"/>
      <c r="F130" s="19"/>
      <c r="H130" s="18"/>
    </row>
    <row r="131" spans="4:8" s="8" customFormat="1" x14ac:dyDescent="0.2">
      <c r="D131" s="18"/>
      <c r="F131" s="19"/>
      <c r="H131" s="18"/>
    </row>
    <row r="132" spans="4:8" s="8" customFormat="1" x14ac:dyDescent="0.2">
      <c r="D132" s="18"/>
      <c r="F132" s="19"/>
      <c r="H132" s="18"/>
    </row>
    <row r="133" spans="4:8" s="8" customFormat="1" x14ac:dyDescent="0.2">
      <c r="D133" s="18"/>
      <c r="F133" s="19"/>
      <c r="H133" s="18"/>
    </row>
    <row r="134" spans="4:8" s="8" customFormat="1" x14ac:dyDescent="0.2">
      <c r="D134" s="18"/>
      <c r="F134" s="19"/>
      <c r="H134" s="18"/>
    </row>
    <row r="135" spans="4:8" s="8" customFormat="1" x14ac:dyDescent="0.2">
      <c r="D135" s="18"/>
      <c r="F135" s="19"/>
      <c r="H135" s="18"/>
    </row>
    <row r="136" spans="4:8" s="8" customFormat="1" x14ac:dyDescent="0.2">
      <c r="D136" s="18"/>
      <c r="F136" s="19"/>
      <c r="H136" s="18"/>
    </row>
    <row r="137" spans="4:8" s="8" customFormat="1" x14ac:dyDescent="0.2">
      <c r="D137" s="18"/>
      <c r="F137" s="19"/>
      <c r="H137" s="18"/>
    </row>
    <row r="138" spans="4:8" s="8" customFormat="1" x14ac:dyDescent="0.2">
      <c r="D138" s="18"/>
      <c r="F138" s="19"/>
      <c r="H138" s="18"/>
    </row>
    <row r="139" spans="4:8" s="8" customFormat="1" x14ac:dyDescent="0.2">
      <c r="D139" s="18"/>
      <c r="F139" s="19"/>
      <c r="H139" s="18"/>
    </row>
    <row r="140" spans="4:8" s="8" customFormat="1" x14ac:dyDescent="0.2">
      <c r="D140" s="18"/>
      <c r="F140" s="19"/>
      <c r="H140" s="18"/>
    </row>
    <row r="141" spans="4:8" s="8" customFormat="1" x14ac:dyDescent="0.2">
      <c r="D141" s="18"/>
      <c r="F141" s="19"/>
      <c r="H141" s="18"/>
    </row>
    <row r="142" spans="4:8" s="8" customFormat="1" x14ac:dyDescent="0.2">
      <c r="D142" s="18"/>
      <c r="F142" s="19"/>
      <c r="H142" s="18"/>
    </row>
    <row r="143" spans="4:8" s="8" customFormat="1" x14ac:dyDescent="0.2">
      <c r="D143" s="18"/>
      <c r="F143" s="19"/>
      <c r="H143" s="18"/>
    </row>
    <row r="144" spans="4:8" s="8" customFormat="1" x14ac:dyDescent="0.2">
      <c r="D144" s="18"/>
      <c r="F144" s="19"/>
      <c r="H144" s="18"/>
    </row>
    <row r="145" spans="4:8" s="8" customFormat="1" x14ac:dyDescent="0.2">
      <c r="D145" s="18"/>
      <c r="F145" s="19"/>
      <c r="H145" s="18"/>
    </row>
    <row r="146" spans="4:8" s="8" customFormat="1" x14ac:dyDescent="0.2">
      <c r="D146" s="18"/>
      <c r="F146" s="19"/>
      <c r="H146" s="18"/>
    </row>
    <row r="147" spans="4:8" s="8" customFormat="1" x14ac:dyDescent="0.2">
      <c r="D147" s="18"/>
      <c r="F147" s="19"/>
      <c r="H147" s="18"/>
    </row>
    <row r="148" spans="4:8" s="8" customFormat="1" x14ac:dyDescent="0.2">
      <c r="D148" s="18"/>
      <c r="F148" s="19"/>
      <c r="H148" s="18"/>
    </row>
    <row r="149" spans="4:8" s="8" customFormat="1" x14ac:dyDescent="0.2">
      <c r="D149" s="18"/>
      <c r="F149" s="19"/>
      <c r="H149" s="18"/>
    </row>
    <row r="150" spans="4:8" s="8" customFormat="1" x14ac:dyDescent="0.2">
      <c r="D150" s="18"/>
      <c r="F150" s="19"/>
      <c r="H150" s="18"/>
    </row>
    <row r="151" spans="4:8" s="8" customFormat="1" x14ac:dyDescent="0.2">
      <c r="D151" s="18"/>
      <c r="F151" s="19"/>
      <c r="H151" s="18"/>
    </row>
    <row r="152" spans="4:8" s="8" customFormat="1" x14ac:dyDescent="0.2">
      <c r="D152" s="18"/>
      <c r="F152" s="19"/>
      <c r="H152" s="18"/>
    </row>
    <row r="153" spans="4:8" s="8" customFormat="1" x14ac:dyDescent="0.2">
      <c r="D153" s="18"/>
      <c r="F153" s="19"/>
      <c r="H153" s="18"/>
    </row>
    <row r="154" spans="4:8" s="8" customFormat="1" x14ac:dyDescent="0.2">
      <c r="D154" s="18"/>
      <c r="F154" s="19"/>
      <c r="H154" s="18"/>
    </row>
  </sheetData>
  <mergeCells count="5">
    <mergeCell ref="B80:J84"/>
    <mergeCell ref="B7:K7"/>
    <mergeCell ref="M13:Q13"/>
    <mergeCell ref="M14:R14"/>
    <mergeCell ref="B60:K60"/>
  </mergeCells>
  <pageMargins left="0.7" right="0.7" top="0.75" bottom="0.75" header="0.3" footer="0.3"/>
  <pageSetup scale="88" fitToHeight="2" orientation="portrait" r:id="rId1"/>
  <headerFooter>
    <oddFooter>&amp;L&amp;A&amp;C&amp;F&amp;R&amp;D</oddFooter>
  </headerFooter>
  <rowBreaks count="1" manualBreakCount="1">
    <brk id="59" min="1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AD122"/>
  <sheetViews>
    <sheetView workbookViewId="0">
      <selection activeCell="B12" sqref="B12"/>
    </sheetView>
  </sheetViews>
  <sheetFormatPr defaultColWidth="8.7109375" defaultRowHeight="12.75" x14ac:dyDescent="0.2"/>
  <cols>
    <col min="1" max="1" width="3.28515625" style="8" customWidth="1"/>
    <col min="2" max="2" width="33.7109375" customWidth="1"/>
    <col min="3" max="3" width="12" customWidth="1"/>
    <col min="4" max="4" width="12.28515625" customWidth="1"/>
    <col min="5" max="16" width="8.7109375" customWidth="1"/>
    <col min="17" max="29" width="8.7109375" style="8" customWidth="1"/>
  </cols>
  <sheetData>
    <row r="1" spans="2:16" s="98" customFormat="1" ht="40.5" customHeight="1" x14ac:dyDescent="0.2">
      <c r="B1" s="271" t="s">
        <v>263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2:16" x14ac:dyDescent="0.2">
      <c r="B2" s="143"/>
      <c r="C2" s="139"/>
      <c r="D2" s="139"/>
      <c r="E2" s="139"/>
      <c r="F2" s="139"/>
      <c r="G2" s="139"/>
      <c r="H2" s="140" t="s">
        <v>9</v>
      </c>
      <c r="I2" s="139"/>
      <c r="J2" s="139" t="s">
        <v>10</v>
      </c>
      <c r="K2" s="139"/>
      <c r="L2" s="144"/>
      <c r="M2" s="8"/>
      <c r="N2" s="8"/>
      <c r="O2" s="8"/>
      <c r="P2" s="8"/>
    </row>
    <row r="3" spans="2:16" x14ac:dyDescent="0.2">
      <c r="B3" s="145"/>
      <c r="C3" s="9"/>
      <c r="D3" s="9"/>
      <c r="E3" s="9"/>
      <c r="F3" s="10" t="s">
        <v>11</v>
      </c>
      <c r="G3" s="9"/>
      <c r="H3" s="10" t="s">
        <v>12</v>
      </c>
      <c r="I3" s="10" t="s">
        <v>13</v>
      </c>
      <c r="J3" s="10" t="s">
        <v>14</v>
      </c>
      <c r="K3" s="9"/>
      <c r="L3" s="146"/>
      <c r="M3" s="8"/>
      <c r="N3" s="8"/>
      <c r="O3" s="8"/>
      <c r="P3" s="8"/>
    </row>
    <row r="4" spans="2:16" x14ac:dyDescent="0.2">
      <c r="B4" s="147" t="s">
        <v>15</v>
      </c>
      <c r="C4" s="10" t="s">
        <v>16</v>
      </c>
      <c r="D4" s="9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24</v>
      </c>
      <c r="L4" s="148" t="s">
        <v>25</v>
      </c>
      <c r="M4" s="8"/>
      <c r="N4" s="8"/>
      <c r="O4" s="8"/>
      <c r="P4" s="8"/>
    </row>
    <row r="5" spans="2:16" x14ac:dyDescent="0.2">
      <c r="B5" s="149" t="s">
        <v>26</v>
      </c>
      <c r="C5" s="141" t="s">
        <v>27</v>
      </c>
      <c r="D5" s="142" t="s">
        <v>28</v>
      </c>
      <c r="E5" s="141" t="s">
        <v>29</v>
      </c>
      <c r="F5" s="141" t="s">
        <v>30</v>
      </c>
      <c r="G5" s="141" t="s">
        <v>27</v>
      </c>
      <c r="H5" s="141" t="s">
        <v>31</v>
      </c>
      <c r="I5" s="141" t="s">
        <v>32</v>
      </c>
      <c r="J5" s="141" t="s">
        <v>33</v>
      </c>
      <c r="K5" s="141" t="s">
        <v>34</v>
      </c>
      <c r="L5" s="150" t="s">
        <v>35</v>
      </c>
      <c r="M5" s="8"/>
      <c r="N5" s="8"/>
      <c r="O5" s="8"/>
      <c r="P5" s="8"/>
    </row>
    <row r="6" spans="2:16" ht="15" customHeight="1" x14ac:dyDescent="0.2">
      <c r="B6" s="124" t="s">
        <v>36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8"/>
      <c r="N6" s="8"/>
      <c r="O6" s="8"/>
      <c r="P6" s="8"/>
    </row>
    <row r="7" spans="2:16" ht="15" customHeight="1" x14ac:dyDescent="0.2">
      <c r="B7" s="127" t="s">
        <v>37</v>
      </c>
      <c r="C7" s="128">
        <v>7320</v>
      </c>
      <c r="D7" s="129">
        <v>0</v>
      </c>
      <c r="E7" s="129">
        <v>10</v>
      </c>
      <c r="F7" s="130">
        <v>200</v>
      </c>
      <c r="G7" s="131">
        <v>1500</v>
      </c>
      <c r="H7" s="130">
        <v>150</v>
      </c>
      <c r="I7" s="130">
        <v>1.2</v>
      </c>
      <c r="J7" s="132">
        <v>1.2</v>
      </c>
      <c r="K7" s="130">
        <v>1.1000000000000001</v>
      </c>
      <c r="L7" s="130"/>
      <c r="M7" s="8"/>
      <c r="N7" s="8"/>
      <c r="O7" s="8"/>
      <c r="P7" s="8"/>
    </row>
    <row r="8" spans="2:16" ht="15" customHeight="1" x14ac:dyDescent="0.2">
      <c r="B8" s="127" t="s">
        <v>122</v>
      </c>
      <c r="C8" s="128">
        <v>65000</v>
      </c>
      <c r="D8" s="129">
        <v>10</v>
      </c>
      <c r="E8" s="129">
        <v>15</v>
      </c>
      <c r="F8" s="130">
        <v>600</v>
      </c>
      <c r="G8" s="131">
        <v>8500</v>
      </c>
      <c r="H8" s="131">
        <v>2000</v>
      </c>
      <c r="I8" s="130">
        <v>7</v>
      </c>
      <c r="J8" s="132">
        <v>1.2</v>
      </c>
      <c r="K8" s="130">
        <v>1.1000000000000001</v>
      </c>
      <c r="L8" s="130"/>
      <c r="M8" s="8"/>
      <c r="N8" s="8"/>
      <c r="O8" s="8"/>
      <c r="P8" s="119"/>
    </row>
    <row r="9" spans="2:16" ht="15" customHeight="1" x14ac:dyDescent="0.2">
      <c r="B9" s="127" t="s">
        <v>122</v>
      </c>
      <c r="C9" s="128">
        <v>65000</v>
      </c>
      <c r="D9" s="129">
        <v>10</v>
      </c>
      <c r="E9" s="129">
        <v>15</v>
      </c>
      <c r="F9" s="130">
        <v>600</v>
      </c>
      <c r="G9" s="131">
        <v>8500</v>
      </c>
      <c r="H9" s="131">
        <v>2000</v>
      </c>
      <c r="I9" s="130">
        <v>7</v>
      </c>
      <c r="J9" s="132">
        <v>1.2</v>
      </c>
      <c r="K9" s="130">
        <v>1.1000000000000001</v>
      </c>
      <c r="L9" s="130"/>
      <c r="M9" s="8"/>
      <c r="N9" s="8"/>
      <c r="O9" s="8"/>
      <c r="P9" s="119"/>
    </row>
    <row r="10" spans="2:16" ht="15" customHeight="1" x14ac:dyDescent="0.2">
      <c r="B10" s="124" t="s">
        <v>45</v>
      </c>
      <c r="C10" s="125"/>
      <c r="D10" s="125"/>
      <c r="E10" s="125"/>
      <c r="F10" s="125"/>
      <c r="G10" s="125"/>
      <c r="H10" s="125"/>
      <c r="I10" s="125"/>
      <c r="J10" s="133"/>
      <c r="K10" s="125"/>
      <c r="L10" s="126"/>
      <c r="M10" s="8"/>
      <c r="N10" s="8"/>
      <c r="O10" s="8"/>
      <c r="P10" s="8"/>
    </row>
    <row r="11" spans="2:16" ht="15" customHeight="1" x14ac:dyDescent="0.2">
      <c r="B11" s="127" t="s">
        <v>143</v>
      </c>
      <c r="C11" s="128">
        <v>22000</v>
      </c>
      <c r="D11" s="129">
        <v>0</v>
      </c>
      <c r="E11" s="129">
        <v>15</v>
      </c>
      <c r="F11" s="130">
        <v>150</v>
      </c>
      <c r="G11" s="128">
        <v>2000</v>
      </c>
      <c r="H11" s="128">
        <v>1000</v>
      </c>
      <c r="I11" s="130">
        <v>6</v>
      </c>
      <c r="J11" s="132">
        <v>0.6</v>
      </c>
      <c r="K11" s="130">
        <v>1.1000000000000001</v>
      </c>
      <c r="L11" s="130">
        <v>10.47</v>
      </c>
      <c r="M11" s="8"/>
      <c r="N11" s="8"/>
      <c r="O11" s="8"/>
      <c r="P11" s="8"/>
    </row>
    <row r="12" spans="2:16" ht="15" customHeight="1" x14ac:dyDescent="0.2">
      <c r="B12" s="127" t="s">
        <v>121</v>
      </c>
      <c r="C12" s="128">
        <v>6600</v>
      </c>
      <c r="D12" s="129">
        <v>0</v>
      </c>
      <c r="E12" s="129">
        <v>15</v>
      </c>
      <c r="F12" s="130">
        <v>150</v>
      </c>
      <c r="G12" s="128">
        <v>700</v>
      </c>
      <c r="H12" s="128">
        <v>500</v>
      </c>
      <c r="I12" s="130">
        <v>10</v>
      </c>
      <c r="J12" s="132">
        <v>0.6</v>
      </c>
      <c r="K12" s="130">
        <v>1.1000000000000001</v>
      </c>
      <c r="L12" s="130">
        <v>4.8499999999999996</v>
      </c>
      <c r="M12" s="8"/>
      <c r="N12" s="8"/>
      <c r="O12" s="8"/>
      <c r="P12" s="8"/>
    </row>
    <row r="13" spans="2:16" ht="15" customHeight="1" x14ac:dyDescent="0.2">
      <c r="B13" s="127" t="s">
        <v>42</v>
      </c>
      <c r="C13" s="128">
        <v>30500</v>
      </c>
      <c r="D13" s="129">
        <v>0</v>
      </c>
      <c r="E13" s="129">
        <v>15</v>
      </c>
      <c r="F13" s="130">
        <v>150</v>
      </c>
      <c r="G13" s="128">
        <v>5000</v>
      </c>
      <c r="H13" s="128">
        <v>1000</v>
      </c>
      <c r="I13" s="130">
        <v>10</v>
      </c>
      <c r="J13" s="132">
        <v>0.6</v>
      </c>
      <c r="K13" s="130">
        <v>1.1000000000000001</v>
      </c>
      <c r="L13" s="130">
        <v>7.42</v>
      </c>
      <c r="M13" s="8"/>
      <c r="N13" s="8"/>
      <c r="O13" s="8"/>
      <c r="P13" s="8"/>
    </row>
    <row r="14" spans="2:16" ht="15" customHeight="1" x14ac:dyDescent="0.2">
      <c r="B14" s="127" t="s">
        <v>144</v>
      </c>
      <c r="C14" s="128">
        <v>6600</v>
      </c>
      <c r="D14" s="129">
        <v>15</v>
      </c>
      <c r="E14" s="129">
        <v>15</v>
      </c>
      <c r="F14" s="130">
        <v>150</v>
      </c>
      <c r="G14" s="128">
        <v>800</v>
      </c>
      <c r="H14" s="128">
        <v>500</v>
      </c>
      <c r="I14" s="130">
        <v>9.27</v>
      </c>
      <c r="J14" s="132">
        <v>0.6</v>
      </c>
      <c r="K14" s="130">
        <v>1.1000000000000001</v>
      </c>
      <c r="L14" s="130">
        <v>9.27</v>
      </c>
      <c r="M14" s="8"/>
      <c r="N14" s="8"/>
      <c r="O14" s="8"/>
      <c r="P14" s="8"/>
    </row>
    <row r="15" spans="2:16" ht="15" customHeight="1" x14ac:dyDescent="0.2">
      <c r="B15" s="127" t="s">
        <v>43</v>
      </c>
      <c r="C15" s="128">
        <v>25000</v>
      </c>
      <c r="D15" s="129">
        <v>8</v>
      </c>
      <c r="E15" s="129">
        <v>15</v>
      </c>
      <c r="F15" s="130">
        <v>150</v>
      </c>
      <c r="G15" s="128">
        <v>1000</v>
      </c>
      <c r="H15" s="128">
        <v>5000</v>
      </c>
      <c r="I15" s="130">
        <v>12</v>
      </c>
      <c r="J15" s="132">
        <v>3</v>
      </c>
      <c r="K15" s="130">
        <v>1.2</v>
      </c>
      <c r="L15" s="130">
        <v>6.5</v>
      </c>
      <c r="M15" s="8"/>
      <c r="N15" s="8"/>
      <c r="O15" s="8"/>
      <c r="P15" s="8"/>
    </row>
    <row r="16" spans="2:16" ht="15" customHeight="1" x14ac:dyDescent="0.2">
      <c r="B16" s="127" t="s">
        <v>44</v>
      </c>
      <c r="C16" s="128">
        <v>86620</v>
      </c>
      <c r="D16" s="129">
        <v>0</v>
      </c>
      <c r="E16" s="129">
        <v>15</v>
      </c>
      <c r="F16" s="130">
        <v>125</v>
      </c>
      <c r="G16" s="128">
        <v>18300</v>
      </c>
      <c r="H16" s="128">
        <v>2600</v>
      </c>
      <c r="I16" s="130">
        <v>12</v>
      </c>
      <c r="J16" s="132">
        <v>2</v>
      </c>
      <c r="K16" s="130">
        <v>1.2</v>
      </c>
      <c r="L16" s="130">
        <v>1.27</v>
      </c>
      <c r="M16" s="8"/>
      <c r="N16" s="8"/>
      <c r="O16" s="8"/>
      <c r="P16" s="8"/>
    </row>
    <row r="17" spans="1:29" ht="15" customHeight="1" x14ac:dyDescent="0.2">
      <c r="B17" s="127" t="s">
        <v>46</v>
      </c>
      <c r="C17" s="128">
        <v>21000</v>
      </c>
      <c r="D17" s="129">
        <v>0</v>
      </c>
      <c r="E17" s="129">
        <v>10</v>
      </c>
      <c r="F17" s="130">
        <v>100</v>
      </c>
      <c r="G17" s="128">
        <v>4000</v>
      </c>
      <c r="H17" s="128">
        <v>1000</v>
      </c>
      <c r="I17" s="130">
        <v>10</v>
      </c>
      <c r="J17" s="132">
        <v>2.5</v>
      </c>
      <c r="K17" s="130">
        <v>1.1000000000000001</v>
      </c>
      <c r="L17" s="130">
        <v>13.58</v>
      </c>
      <c r="M17" s="8"/>
      <c r="N17" s="8"/>
      <c r="O17" s="8"/>
      <c r="P17" s="8"/>
    </row>
    <row r="18" spans="1:29" ht="15" customHeight="1" x14ac:dyDescent="0.2">
      <c r="B18" s="134" t="s">
        <v>38</v>
      </c>
      <c r="C18" s="135"/>
      <c r="D18" s="136"/>
      <c r="E18" s="136"/>
      <c r="F18" s="135" t="s">
        <v>39</v>
      </c>
      <c r="G18" s="135"/>
      <c r="H18" s="135"/>
      <c r="I18" s="135" t="s">
        <v>40</v>
      </c>
      <c r="J18" s="137"/>
      <c r="K18" s="135"/>
      <c r="L18" s="138"/>
      <c r="M18" s="8"/>
      <c r="N18" s="8"/>
      <c r="O18" s="8"/>
      <c r="P18" s="8"/>
    </row>
    <row r="19" spans="1:29" ht="15" customHeight="1" x14ac:dyDescent="0.2">
      <c r="B19" s="127" t="s">
        <v>204</v>
      </c>
      <c r="C19" s="128">
        <v>30000</v>
      </c>
      <c r="D19" s="129">
        <v>10</v>
      </c>
      <c r="E19" s="129">
        <v>10</v>
      </c>
      <c r="F19" s="130">
        <v>2000</v>
      </c>
      <c r="G19" s="128">
        <v>10000</v>
      </c>
      <c r="H19" s="128">
        <v>2000</v>
      </c>
      <c r="I19" s="130">
        <v>6</v>
      </c>
      <c r="J19" s="132">
        <v>10.1</v>
      </c>
      <c r="K19" s="130">
        <v>1.2</v>
      </c>
      <c r="L19" s="130"/>
      <c r="M19" s="8"/>
      <c r="N19" s="8"/>
      <c r="O19" s="8"/>
      <c r="P19" s="8"/>
    </row>
    <row r="20" spans="1:29" ht="15" customHeight="1" x14ac:dyDescent="0.2">
      <c r="B20" s="127" t="s">
        <v>204</v>
      </c>
      <c r="C20" s="128">
        <v>30000</v>
      </c>
      <c r="D20" s="129">
        <v>10</v>
      </c>
      <c r="E20" s="129">
        <v>10</v>
      </c>
      <c r="F20" s="130">
        <v>2000</v>
      </c>
      <c r="G20" s="128">
        <v>10000</v>
      </c>
      <c r="H20" s="128">
        <v>2000</v>
      </c>
      <c r="I20" s="130">
        <v>6</v>
      </c>
      <c r="J20" s="132">
        <v>10.1</v>
      </c>
      <c r="K20" s="130">
        <v>1.2</v>
      </c>
      <c r="L20" s="130"/>
      <c r="M20" s="8"/>
      <c r="N20" s="8"/>
      <c r="O20" s="8"/>
      <c r="P20" s="8"/>
    </row>
    <row r="21" spans="1:29" ht="15" customHeight="1" x14ac:dyDescent="0.2">
      <c r="B21" s="127" t="s">
        <v>204</v>
      </c>
      <c r="C21" s="128">
        <v>30000</v>
      </c>
      <c r="D21" s="129">
        <v>10</v>
      </c>
      <c r="E21" s="129">
        <v>10</v>
      </c>
      <c r="F21" s="130">
        <v>2000</v>
      </c>
      <c r="G21" s="128">
        <v>10000</v>
      </c>
      <c r="H21" s="128">
        <v>2000</v>
      </c>
      <c r="I21" s="130">
        <v>6</v>
      </c>
      <c r="J21" s="132">
        <v>10.1</v>
      </c>
      <c r="K21" s="130">
        <v>1.2</v>
      </c>
      <c r="L21" s="130"/>
      <c r="M21" s="8"/>
      <c r="N21" s="8"/>
      <c r="O21" s="8"/>
      <c r="P21" s="8"/>
    </row>
    <row r="22" spans="1:29" ht="15" customHeight="1" x14ac:dyDescent="0.2">
      <c r="B22" s="127" t="s">
        <v>41</v>
      </c>
      <c r="C22" s="128">
        <v>15000</v>
      </c>
      <c r="D22" s="129">
        <v>7</v>
      </c>
      <c r="E22" s="129">
        <v>7</v>
      </c>
      <c r="F22" s="130">
        <v>6000</v>
      </c>
      <c r="G22" s="128">
        <v>3500</v>
      </c>
      <c r="H22" s="128">
        <v>750</v>
      </c>
      <c r="I22" s="130">
        <v>12</v>
      </c>
      <c r="J22" s="132">
        <v>6.8</v>
      </c>
      <c r="K22" s="130">
        <v>1.2</v>
      </c>
      <c r="L22" s="130"/>
      <c r="M22" s="8"/>
      <c r="N22" s="8"/>
      <c r="O22" s="8"/>
      <c r="P22" s="8"/>
    </row>
    <row r="23" spans="1:29" ht="15" customHeight="1" x14ac:dyDescent="0.2">
      <c r="B23" s="127" t="s">
        <v>41</v>
      </c>
      <c r="C23" s="128">
        <v>30000</v>
      </c>
      <c r="D23" s="129">
        <v>0</v>
      </c>
      <c r="E23" s="129">
        <v>7</v>
      </c>
      <c r="F23" s="130">
        <v>18000</v>
      </c>
      <c r="G23" s="128">
        <v>15000</v>
      </c>
      <c r="H23" s="128">
        <v>750</v>
      </c>
      <c r="I23" s="130">
        <v>12</v>
      </c>
      <c r="J23" s="132">
        <v>6.8</v>
      </c>
      <c r="K23" s="130">
        <v>1.2</v>
      </c>
      <c r="L23" s="130"/>
      <c r="M23" s="8"/>
      <c r="N23" s="8"/>
      <c r="O23" s="8"/>
      <c r="P23" s="8"/>
    </row>
    <row r="24" spans="1:29" ht="1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9" ht="36.75" customHeight="1" x14ac:dyDescent="0.2">
      <c r="A25" s="16"/>
      <c r="B25" s="260" t="s">
        <v>264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16"/>
      <c r="O25" s="8"/>
      <c r="P25" s="8"/>
    </row>
    <row r="26" spans="1:29" x14ac:dyDescent="0.2">
      <c r="A26" s="1"/>
      <c r="B26" s="99"/>
      <c r="C26" s="274" t="s">
        <v>123</v>
      </c>
      <c r="D26" s="275"/>
      <c r="E26" s="276"/>
      <c r="F26" s="100"/>
      <c r="G26" s="277" t="s">
        <v>124</v>
      </c>
      <c r="H26" s="278"/>
      <c r="I26" s="278"/>
      <c r="J26" s="279"/>
      <c r="K26" s="101" t="s">
        <v>24</v>
      </c>
      <c r="L26" s="102" t="s">
        <v>125</v>
      </c>
      <c r="M26" s="280" t="s">
        <v>126</v>
      </c>
      <c r="N26" s="1"/>
      <c r="O26" s="8"/>
      <c r="P26" s="8"/>
    </row>
    <row r="27" spans="1:29" x14ac:dyDescent="0.2">
      <c r="A27" s="1"/>
      <c r="B27" s="103"/>
      <c r="C27" s="282" t="s">
        <v>47</v>
      </c>
      <c r="D27" s="284" t="s">
        <v>48</v>
      </c>
      <c r="E27" s="284" t="s">
        <v>127</v>
      </c>
      <c r="F27" s="284" t="s">
        <v>128</v>
      </c>
      <c r="G27" s="286" t="s">
        <v>129</v>
      </c>
      <c r="H27" s="286" t="s">
        <v>24</v>
      </c>
      <c r="I27" s="286" t="s">
        <v>130</v>
      </c>
      <c r="J27" s="286" t="s">
        <v>49</v>
      </c>
      <c r="K27" s="104"/>
      <c r="L27" s="104"/>
      <c r="M27" s="281"/>
      <c r="N27" s="1"/>
      <c r="O27" s="8"/>
      <c r="P27" s="8"/>
    </row>
    <row r="28" spans="1:29" x14ac:dyDescent="0.2">
      <c r="A28" s="1"/>
      <c r="B28" s="105"/>
      <c r="C28" s="283"/>
      <c r="D28" s="285"/>
      <c r="E28" s="285"/>
      <c r="F28" s="285"/>
      <c r="G28" s="285"/>
      <c r="H28" s="285"/>
      <c r="I28" s="285"/>
      <c r="J28" s="285"/>
      <c r="K28" s="106" t="s">
        <v>131</v>
      </c>
      <c r="L28" s="107" t="s">
        <v>132</v>
      </c>
      <c r="M28" s="108" t="s">
        <v>103</v>
      </c>
      <c r="N28" s="1"/>
      <c r="O28" s="8"/>
      <c r="P28" s="8"/>
    </row>
    <row r="29" spans="1:29" s="2" customFormat="1" x14ac:dyDescent="0.2">
      <c r="A29" s="85"/>
      <c r="B29" s="268" t="s">
        <v>133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70"/>
      <c r="N29" s="8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 customHeight="1" x14ac:dyDescent="0.2">
      <c r="A30" s="85"/>
      <c r="B30" s="109" t="s">
        <v>134</v>
      </c>
      <c r="C30" s="110">
        <v>0.58199999999999996</v>
      </c>
      <c r="D30" s="110">
        <v>0.33</v>
      </c>
      <c r="E30" s="110">
        <v>5.1999999999999998E-2</v>
      </c>
      <c r="F30" s="111">
        <f t="shared" ref="F30:F35" si="0">SUM(C30:E30)</f>
        <v>0.96399999999999997</v>
      </c>
      <c r="G30" s="111">
        <v>0.15</v>
      </c>
      <c r="H30" s="111">
        <v>4.4000000000000004</v>
      </c>
      <c r="I30" s="111">
        <v>7.5800000000000006E-2</v>
      </c>
      <c r="J30" s="111">
        <f t="shared" ref="J30:J35" si="1">SUM(G30:I30)</f>
        <v>4.6258000000000008</v>
      </c>
      <c r="K30" s="112">
        <f t="shared" ref="K30:K35" si="2">H30/15.6</f>
        <v>0.2820512820512821</v>
      </c>
      <c r="L30" s="112">
        <f t="shared" ref="L30:L35" si="3">(I30*0.85)/2</f>
        <v>3.2215000000000001E-2</v>
      </c>
      <c r="M30" s="111">
        <f t="shared" ref="M30:M35" si="4">F30+J30</f>
        <v>5.5898000000000003</v>
      </c>
      <c r="N30" s="1"/>
      <c r="O30" s="8"/>
      <c r="P30" s="8"/>
    </row>
    <row r="31" spans="1:29" ht="15" customHeight="1" x14ac:dyDescent="0.2">
      <c r="A31" s="85"/>
      <c r="B31" s="109" t="s">
        <v>135</v>
      </c>
      <c r="C31" s="110">
        <v>2.14</v>
      </c>
      <c r="D31" s="111">
        <v>1.69</v>
      </c>
      <c r="E31" s="111">
        <v>1.53</v>
      </c>
      <c r="F31" s="111">
        <f t="shared" si="0"/>
        <v>5.36</v>
      </c>
      <c r="G31" s="111">
        <v>0.75</v>
      </c>
      <c r="H31" s="111">
        <v>0</v>
      </c>
      <c r="I31" s="111">
        <v>4.75</v>
      </c>
      <c r="J31" s="111">
        <f t="shared" si="1"/>
        <v>5.5</v>
      </c>
      <c r="K31" s="112">
        <f t="shared" si="2"/>
        <v>0</v>
      </c>
      <c r="L31" s="112">
        <f t="shared" si="3"/>
        <v>2.0187499999999998</v>
      </c>
      <c r="M31" s="111">
        <f t="shared" si="4"/>
        <v>10.86</v>
      </c>
      <c r="N31" s="1"/>
      <c r="O31" s="8"/>
      <c r="P31" s="8"/>
    </row>
    <row r="32" spans="1:29" ht="15" customHeight="1" x14ac:dyDescent="0.2">
      <c r="A32" s="85"/>
      <c r="B32" s="109" t="s">
        <v>136</v>
      </c>
      <c r="C32" s="110">
        <v>1.64</v>
      </c>
      <c r="D32" s="110">
        <v>0.69</v>
      </c>
      <c r="E32" s="110">
        <v>0.63</v>
      </c>
      <c r="F32" s="111">
        <f t="shared" si="0"/>
        <v>2.96</v>
      </c>
      <c r="G32" s="110">
        <v>0.75</v>
      </c>
      <c r="H32" s="110">
        <v>0</v>
      </c>
      <c r="I32" s="110">
        <v>1.59</v>
      </c>
      <c r="J32" s="111">
        <f t="shared" si="1"/>
        <v>2.34</v>
      </c>
      <c r="K32" s="112">
        <f t="shared" si="2"/>
        <v>0</v>
      </c>
      <c r="L32" s="112">
        <f t="shared" si="3"/>
        <v>0.67574999999999996</v>
      </c>
      <c r="M32" s="111">
        <f t="shared" si="4"/>
        <v>5.3</v>
      </c>
      <c r="N32" s="1"/>
      <c r="O32" s="8"/>
      <c r="P32" s="8"/>
    </row>
    <row r="33" spans="1:30" ht="15" customHeight="1" x14ac:dyDescent="0.2">
      <c r="A33" s="85"/>
      <c r="B33" s="109" t="s">
        <v>205</v>
      </c>
      <c r="C33" s="110">
        <v>2</v>
      </c>
      <c r="D33" s="111">
        <v>1.5</v>
      </c>
      <c r="E33" s="111">
        <v>2.02</v>
      </c>
      <c r="F33" s="111">
        <f t="shared" si="0"/>
        <v>5.52</v>
      </c>
      <c r="G33" s="111">
        <v>2</v>
      </c>
      <c r="H33" s="111">
        <v>1.87</v>
      </c>
      <c r="I33" s="111">
        <v>0.86</v>
      </c>
      <c r="J33" s="111">
        <f t="shared" si="1"/>
        <v>4.7300000000000004</v>
      </c>
      <c r="K33" s="112">
        <f t="shared" si="2"/>
        <v>0.11987179487179488</v>
      </c>
      <c r="L33" s="112">
        <f t="shared" si="3"/>
        <v>0.36549999999999999</v>
      </c>
      <c r="M33" s="111">
        <f t="shared" si="4"/>
        <v>10.25</v>
      </c>
      <c r="N33" s="1"/>
      <c r="O33" s="8"/>
      <c r="P33" s="8"/>
    </row>
    <row r="34" spans="1:30" ht="15" customHeight="1" x14ac:dyDescent="0.2">
      <c r="A34" s="85"/>
      <c r="B34" s="109" t="s">
        <v>205</v>
      </c>
      <c r="C34" s="110">
        <v>2</v>
      </c>
      <c r="D34" s="111">
        <v>1.5</v>
      </c>
      <c r="E34" s="111">
        <v>2.02</v>
      </c>
      <c r="F34" s="111">
        <f t="shared" si="0"/>
        <v>5.52</v>
      </c>
      <c r="G34" s="111">
        <v>2</v>
      </c>
      <c r="H34" s="111">
        <v>1.87</v>
      </c>
      <c r="I34" s="111">
        <v>0.86</v>
      </c>
      <c r="J34" s="111">
        <f t="shared" si="1"/>
        <v>4.7300000000000004</v>
      </c>
      <c r="K34" s="112">
        <f t="shared" si="2"/>
        <v>0.11987179487179488</v>
      </c>
      <c r="L34" s="112">
        <f t="shared" si="3"/>
        <v>0.36549999999999999</v>
      </c>
      <c r="M34" s="111">
        <f t="shared" si="4"/>
        <v>10.25</v>
      </c>
      <c r="N34" s="1"/>
      <c r="O34" s="8"/>
      <c r="P34" s="8"/>
    </row>
    <row r="35" spans="1:30" ht="15" customHeight="1" x14ac:dyDescent="0.2">
      <c r="A35" s="85"/>
      <c r="B35" s="109" t="s">
        <v>205</v>
      </c>
      <c r="C35" s="110">
        <v>2</v>
      </c>
      <c r="D35" s="111">
        <v>1.5</v>
      </c>
      <c r="E35" s="111">
        <v>2.02</v>
      </c>
      <c r="F35" s="111">
        <f t="shared" si="0"/>
        <v>5.52</v>
      </c>
      <c r="G35" s="111">
        <v>2</v>
      </c>
      <c r="H35" s="111">
        <v>1.87</v>
      </c>
      <c r="I35" s="111">
        <v>0.86</v>
      </c>
      <c r="J35" s="111">
        <f t="shared" si="1"/>
        <v>4.7300000000000004</v>
      </c>
      <c r="K35" s="112">
        <f t="shared" si="2"/>
        <v>0.11987179487179488</v>
      </c>
      <c r="L35" s="112">
        <f t="shared" si="3"/>
        <v>0.36549999999999999</v>
      </c>
      <c r="M35" s="111">
        <f t="shared" si="4"/>
        <v>10.25</v>
      </c>
      <c r="N35" s="1"/>
      <c r="O35" s="8"/>
      <c r="P35" s="8"/>
    </row>
    <row r="36" spans="1:30" ht="15" customHeight="1" x14ac:dyDescent="0.2">
      <c r="A36" s="85"/>
      <c r="B36" s="113" t="s">
        <v>137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85"/>
      <c r="O36" s="8"/>
      <c r="P36" s="8"/>
    </row>
    <row r="37" spans="1:30" ht="15" customHeight="1" x14ac:dyDescent="0.2">
      <c r="A37" s="85"/>
      <c r="B37" s="114" t="s">
        <v>138</v>
      </c>
      <c r="C37" s="115">
        <v>0.93</v>
      </c>
      <c r="D37" s="115">
        <v>0.67</v>
      </c>
      <c r="E37" s="115">
        <v>0.1</v>
      </c>
      <c r="F37" s="115">
        <f t="shared" ref="F37:F46" si="5">SUM(C37:E37)</f>
        <v>1.7000000000000002</v>
      </c>
      <c r="G37" s="115">
        <v>0.72</v>
      </c>
      <c r="H37" s="115">
        <v>1.85</v>
      </c>
      <c r="I37" s="115">
        <v>1.96</v>
      </c>
      <c r="J37" s="115">
        <f t="shared" ref="J37:J46" si="6">SUM(G37:I37)</f>
        <v>4.53</v>
      </c>
      <c r="K37" s="116">
        <f t="shared" ref="K37:K46" si="7">H37/15.6</f>
        <v>0.1185897435897436</v>
      </c>
      <c r="L37" s="116">
        <f t="shared" ref="L37:L46" si="8">(I37*0.85)/2</f>
        <v>0.83299999999999996</v>
      </c>
      <c r="M37" s="115">
        <f t="shared" ref="M37:M46" si="9">F37+J37</f>
        <v>6.23</v>
      </c>
      <c r="N37" s="1"/>
      <c r="O37" s="8"/>
      <c r="P37" s="8"/>
    </row>
    <row r="38" spans="1:30" ht="15" customHeight="1" x14ac:dyDescent="0.2">
      <c r="A38" s="85"/>
      <c r="B38" s="114" t="s">
        <v>138</v>
      </c>
      <c r="C38" s="115">
        <v>0.93</v>
      </c>
      <c r="D38" s="115">
        <v>0.67</v>
      </c>
      <c r="E38" s="115">
        <v>0.1</v>
      </c>
      <c r="F38" s="115">
        <f t="shared" si="5"/>
        <v>1.7000000000000002</v>
      </c>
      <c r="G38" s="115">
        <v>0.72</v>
      </c>
      <c r="H38" s="115">
        <v>1.85</v>
      </c>
      <c r="I38" s="115">
        <v>1.96</v>
      </c>
      <c r="J38" s="115">
        <f t="shared" si="6"/>
        <v>4.53</v>
      </c>
      <c r="K38" s="116">
        <f t="shared" si="7"/>
        <v>0.1185897435897436</v>
      </c>
      <c r="L38" s="116">
        <f t="shared" si="8"/>
        <v>0.83299999999999996</v>
      </c>
      <c r="M38" s="115">
        <f t="shared" si="9"/>
        <v>6.23</v>
      </c>
      <c r="N38" s="1"/>
      <c r="O38" s="8"/>
      <c r="P38" s="8"/>
    </row>
    <row r="39" spans="1:30" ht="15" customHeight="1" x14ac:dyDescent="0.2">
      <c r="A39" s="85"/>
      <c r="B39" s="114" t="s">
        <v>147</v>
      </c>
      <c r="C39" s="115">
        <v>2.61</v>
      </c>
      <c r="D39" s="115">
        <v>1.71</v>
      </c>
      <c r="E39" s="115">
        <v>0.51</v>
      </c>
      <c r="F39" s="115">
        <f t="shared" si="5"/>
        <v>4.83</v>
      </c>
      <c r="G39" s="115">
        <v>5.64</v>
      </c>
      <c r="H39" s="115">
        <v>2.64</v>
      </c>
      <c r="I39" s="115">
        <v>2.79</v>
      </c>
      <c r="J39" s="115">
        <f t="shared" si="6"/>
        <v>11.07</v>
      </c>
      <c r="K39" s="116">
        <f t="shared" si="7"/>
        <v>0.16923076923076924</v>
      </c>
      <c r="L39" s="116">
        <f t="shared" si="8"/>
        <v>1.1857500000000001</v>
      </c>
      <c r="M39" s="115">
        <f t="shared" si="9"/>
        <v>15.9</v>
      </c>
      <c r="N39" s="1"/>
      <c r="O39" s="8"/>
      <c r="P39" s="8"/>
    </row>
    <row r="40" spans="1:30" ht="15" customHeight="1" x14ac:dyDescent="0.2">
      <c r="A40" s="85"/>
      <c r="B40" s="114" t="s">
        <v>152</v>
      </c>
      <c r="C40" s="117">
        <v>1.93</v>
      </c>
      <c r="D40" s="115">
        <v>1.38</v>
      </c>
      <c r="E40" s="115">
        <v>0.19</v>
      </c>
      <c r="F40" s="115">
        <f t="shared" si="5"/>
        <v>3.4999999999999996</v>
      </c>
      <c r="G40" s="115">
        <v>1.38</v>
      </c>
      <c r="H40" s="115">
        <v>3.54</v>
      </c>
      <c r="I40" s="115">
        <v>3.74</v>
      </c>
      <c r="J40" s="115">
        <f t="shared" si="6"/>
        <v>8.66</v>
      </c>
      <c r="K40" s="116">
        <f t="shared" si="7"/>
        <v>0.22692307692307692</v>
      </c>
      <c r="L40" s="116">
        <f t="shared" si="8"/>
        <v>1.5895000000000001</v>
      </c>
      <c r="M40" s="115">
        <f t="shared" si="9"/>
        <v>12.16</v>
      </c>
      <c r="N40" s="1"/>
      <c r="O40" s="8"/>
      <c r="P40" s="8"/>
    </row>
    <row r="41" spans="1:30" ht="15" customHeight="1" x14ac:dyDescent="0.2">
      <c r="A41" s="85"/>
      <c r="B41" s="114" t="s">
        <v>139</v>
      </c>
      <c r="C41" s="117">
        <v>1.84</v>
      </c>
      <c r="D41" s="115">
        <v>1.33</v>
      </c>
      <c r="E41" s="115">
        <v>0.18</v>
      </c>
      <c r="F41" s="115">
        <f t="shared" si="5"/>
        <v>3.35</v>
      </c>
      <c r="G41" s="115">
        <v>1.38</v>
      </c>
      <c r="H41" s="115">
        <v>3.54</v>
      </c>
      <c r="I41" s="115">
        <v>3.74</v>
      </c>
      <c r="J41" s="115">
        <f t="shared" si="6"/>
        <v>8.66</v>
      </c>
      <c r="K41" s="116">
        <f t="shared" si="7"/>
        <v>0.22692307692307692</v>
      </c>
      <c r="L41" s="116">
        <f t="shared" si="8"/>
        <v>1.5895000000000001</v>
      </c>
      <c r="M41" s="115">
        <f t="shared" si="9"/>
        <v>12.01</v>
      </c>
      <c r="N41" s="1"/>
      <c r="O41" s="8"/>
      <c r="P41" s="8"/>
    </row>
    <row r="42" spans="1:30" ht="15" customHeight="1" x14ac:dyDescent="0.2">
      <c r="A42" s="85"/>
      <c r="B42" s="114" t="s">
        <v>139</v>
      </c>
      <c r="C42" s="117">
        <v>1.84</v>
      </c>
      <c r="D42" s="115">
        <v>1.33</v>
      </c>
      <c r="E42" s="115">
        <v>0.18</v>
      </c>
      <c r="F42" s="115">
        <f t="shared" si="5"/>
        <v>3.35</v>
      </c>
      <c r="G42" s="115">
        <v>1.38</v>
      </c>
      <c r="H42" s="115">
        <v>3.54</v>
      </c>
      <c r="I42" s="115">
        <v>3.74</v>
      </c>
      <c r="J42" s="115">
        <f t="shared" si="6"/>
        <v>8.66</v>
      </c>
      <c r="K42" s="116">
        <f t="shared" si="7"/>
        <v>0.22692307692307692</v>
      </c>
      <c r="L42" s="116">
        <f t="shared" si="8"/>
        <v>1.5895000000000001</v>
      </c>
      <c r="M42" s="115">
        <f t="shared" si="9"/>
        <v>12.01</v>
      </c>
      <c r="N42" s="1"/>
      <c r="O42" s="8"/>
      <c r="P42" s="8"/>
    </row>
    <row r="43" spans="1:30" ht="15" customHeight="1" x14ac:dyDescent="0.2">
      <c r="A43" s="85"/>
      <c r="B43" s="114" t="s">
        <v>148</v>
      </c>
      <c r="C43" s="115">
        <v>2.27</v>
      </c>
      <c r="D43" s="115">
        <v>1.56</v>
      </c>
      <c r="E43" s="115">
        <v>0.17</v>
      </c>
      <c r="F43" s="115">
        <f t="shared" si="5"/>
        <v>4</v>
      </c>
      <c r="G43" s="115">
        <v>2.75</v>
      </c>
      <c r="H43" s="115">
        <v>2.36</v>
      </c>
      <c r="I43" s="115">
        <v>2.5</v>
      </c>
      <c r="J43" s="115">
        <f t="shared" si="6"/>
        <v>7.6099999999999994</v>
      </c>
      <c r="K43" s="116">
        <f t="shared" si="7"/>
        <v>0.15128205128205127</v>
      </c>
      <c r="L43" s="116">
        <f t="shared" si="8"/>
        <v>1.0625</v>
      </c>
      <c r="M43" s="115">
        <f t="shared" si="9"/>
        <v>11.61</v>
      </c>
      <c r="N43" s="1"/>
      <c r="O43" s="8"/>
      <c r="P43" s="8"/>
    </row>
    <row r="44" spans="1:30" ht="15" customHeight="1" x14ac:dyDescent="0.2">
      <c r="A44" s="85"/>
      <c r="B44" s="118" t="s">
        <v>145</v>
      </c>
      <c r="C44" s="117">
        <v>1.2</v>
      </c>
      <c r="D44" s="115">
        <v>0.85</v>
      </c>
      <c r="E44" s="115">
        <v>0.22</v>
      </c>
      <c r="F44" s="115">
        <f t="shared" si="5"/>
        <v>2.27</v>
      </c>
      <c r="G44" s="115">
        <v>1.97</v>
      </c>
      <c r="H44" s="115">
        <v>1.26</v>
      </c>
      <c r="I44" s="115">
        <v>1.33</v>
      </c>
      <c r="J44" s="115">
        <f t="shared" si="6"/>
        <v>4.5600000000000005</v>
      </c>
      <c r="K44" s="116">
        <f t="shared" si="7"/>
        <v>8.0769230769230774E-2</v>
      </c>
      <c r="L44" s="116">
        <f t="shared" si="8"/>
        <v>0.56525000000000003</v>
      </c>
      <c r="M44" s="115">
        <f t="shared" si="9"/>
        <v>6.83</v>
      </c>
      <c r="N44" s="1"/>
      <c r="O44" s="8"/>
      <c r="P44" s="8"/>
    </row>
    <row r="45" spans="1:30" ht="15" customHeight="1" x14ac:dyDescent="0.2">
      <c r="A45" s="85"/>
      <c r="B45" s="114" t="s">
        <v>146</v>
      </c>
      <c r="C45" s="115">
        <v>28.82</v>
      </c>
      <c r="D45" s="115">
        <v>20.82</v>
      </c>
      <c r="E45" s="115">
        <v>5.17</v>
      </c>
      <c r="F45" s="115">
        <f t="shared" si="5"/>
        <v>54.81</v>
      </c>
      <c r="G45" s="115">
        <v>18.329999999999998</v>
      </c>
      <c r="H45" s="115">
        <v>13.48</v>
      </c>
      <c r="I45" s="115">
        <v>14.25</v>
      </c>
      <c r="J45" s="115">
        <f t="shared" si="6"/>
        <v>46.06</v>
      </c>
      <c r="K45" s="116">
        <f t="shared" si="7"/>
        <v>0.86410256410256414</v>
      </c>
      <c r="L45" s="116">
        <f t="shared" si="8"/>
        <v>6.0562499999999995</v>
      </c>
      <c r="M45" s="115">
        <f t="shared" si="9"/>
        <v>100.87</v>
      </c>
      <c r="N45" s="1"/>
      <c r="O45" s="8"/>
      <c r="P45" s="8"/>
    </row>
    <row r="46" spans="1:30" ht="15" customHeight="1" x14ac:dyDescent="0.2">
      <c r="A46" s="85"/>
      <c r="B46" s="118" t="s">
        <v>145</v>
      </c>
      <c r="C46" s="117">
        <v>1.2</v>
      </c>
      <c r="D46" s="115">
        <v>0.85</v>
      </c>
      <c r="E46" s="115">
        <v>0.22</v>
      </c>
      <c r="F46" s="115">
        <f t="shared" si="5"/>
        <v>2.27</v>
      </c>
      <c r="G46" s="115">
        <v>1.97</v>
      </c>
      <c r="H46" s="115">
        <v>1.26</v>
      </c>
      <c r="I46" s="115">
        <v>1.33</v>
      </c>
      <c r="J46" s="115">
        <f t="shared" si="6"/>
        <v>4.5600000000000005</v>
      </c>
      <c r="K46" s="116">
        <f t="shared" si="7"/>
        <v>8.0769230769230774E-2</v>
      </c>
      <c r="L46" s="116">
        <f t="shared" si="8"/>
        <v>0.56525000000000003</v>
      </c>
      <c r="M46" s="115">
        <f t="shared" si="9"/>
        <v>6.83</v>
      </c>
      <c r="N46" s="1"/>
      <c r="O46" s="8"/>
      <c r="P46" s="8"/>
    </row>
    <row r="47" spans="1:30" s="8" customFormat="1" x14ac:dyDescent="0.2">
      <c r="A47" s="11"/>
      <c r="B47" s="121" t="s">
        <v>149</v>
      </c>
      <c r="C47" s="120">
        <f t="shared" ref="C47:L47" si="10">SUM(C30:C46)</f>
        <v>53.932000000000002</v>
      </c>
      <c r="D47" s="120">
        <f t="shared" si="10"/>
        <v>38.380000000000003</v>
      </c>
      <c r="E47" s="120">
        <f t="shared" si="10"/>
        <v>15.311999999999999</v>
      </c>
      <c r="F47" s="120">
        <f t="shared" si="10"/>
        <v>107.62400000000001</v>
      </c>
      <c r="G47" s="120">
        <f t="shared" si="10"/>
        <v>43.889999999999993</v>
      </c>
      <c r="H47" s="120">
        <f t="shared" si="10"/>
        <v>45.33</v>
      </c>
      <c r="I47" s="120">
        <f t="shared" si="10"/>
        <v>46.335799999999999</v>
      </c>
      <c r="J47" s="120">
        <f t="shared" si="10"/>
        <v>135.5558</v>
      </c>
      <c r="K47" s="120">
        <f t="shared" si="10"/>
        <v>2.9057692307692311</v>
      </c>
      <c r="L47" s="120">
        <f t="shared" si="10"/>
        <v>19.692715000000003</v>
      </c>
      <c r="M47" s="120">
        <f>SUM(M30:M46)</f>
        <v>243.17980000000006</v>
      </c>
      <c r="AD47"/>
    </row>
    <row r="48" spans="1:30" s="8" customFormat="1" x14ac:dyDescent="0.2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1"/>
      <c r="AD48"/>
    </row>
    <row r="49" spans="1:30" s="8" customFormat="1" x14ac:dyDescent="0.2">
      <c r="A49" s="11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1"/>
      <c r="AD49"/>
    </row>
    <row r="50" spans="1:30" s="8" customFormat="1" ht="25.5" customHeight="1" x14ac:dyDescent="0.2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1"/>
      <c r="AD50"/>
    </row>
    <row r="51" spans="1:30" s="8" customFormat="1" x14ac:dyDescent="0.2">
      <c r="A51" s="11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AD51"/>
    </row>
    <row r="52" spans="1:30" s="8" customFormat="1" x14ac:dyDescent="0.2">
      <c r="A52" s="11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</row>
    <row r="53" spans="1:30" s="8" customFormat="1" x14ac:dyDescent="0.2">
      <c r="A53" s="11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</row>
    <row r="54" spans="1:30" s="8" customFormat="1" x14ac:dyDescent="0.2">
      <c r="A54" s="11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</row>
    <row r="55" spans="1:30" s="8" customFormat="1" x14ac:dyDescent="0.2">
      <c r="A55" s="11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</row>
    <row r="56" spans="1:30" s="8" customFormat="1" x14ac:dyDescent="0.2">
      <c r="A56" s="1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</row>
    <row r="57" spans="1:30" s="8" customFormat="1" x14ac:dyDescent="0.2">
      <c r="A57" s="11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</row>
    <row r="58" spans="1:30" s="8" customFormat="1" x14ac:dyDescent="0.2">
      <c r="A58" s="11"/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</row>
    <row r="59" spans="1:30" s="8" customFormat="1" x14ac:dyDescent="0.2">
      <c r="A59" s="11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/>
    </row>
    <row r="60" spans="1:30" s="8" customFormat="1" x14ac:dyDescent="0.2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1"/>
    </row>
    <row r="61" spans="1:30" s="8" customFormat="1" x14ac:dyDescent="0.2">
      <c r="A61" s="11"/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1"/>
    </row>
    <row r="62" spans="1:30" s="8" customForma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30" s="8" customForma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30" s="8" customForma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s="8" customForma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s="8" customForma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s="8" customForma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s="8" customForma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8" customForma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s="8" customFormat="1" x14ac:dyDescent="0.2"/>
    <row r="71" spans="1:13" s="8" customFormat="1" x14ac:dyDescent="0.2"/>
    <row r="72" spans="1:13" s="8" customFormat="1" x14ac:dyDescent="0.2"/>
    <row r="73" spans="1:13" s="8" customFormat="1" x14ac:dyDescent="0.2"/>
    <row r="74" spans="1:13" s="8" customFormat="1" x14ac:dyDescent="0.2"/>
    <row r="75" spans="1:13" s="8" customFormat="1" x14ac:dyDescent="0.2"/>
    <row r="76" spans="1:13" s="8" customFormat="1" x14ac:dyDescent="0.2"/>
    <row r="77" spans="1:13" s="8" customFormat="1" x14ac:dyDescent="0.2"/>
    <row r="78" spans="1:13" s="8" customFormat="1" x14ac:dyDescent="0.2"/>
    <row r="79" spans="1:13" s="8" customFormat="1" x14ac:dyDescent="0.2"/>
    <row r="80" spans="1:13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</sheetData>
  <mergeCells count="14">
    <mergeCell ref="B1:L1"/>
    <mergeCell ref="B29:M29"/>
    <mergeCell ref="B25:M25"/>
    <mergeCell ref="C26:E26"/>
    <mergeCell ref="G26:J26"/>
    <mergeCell ref="M26:M27"/>
    <mergeCell ref="C27:C28"/>
    <mergeCell ref="D27:D28"/>
    <mergeCell ref="E27:E28"/>
    <mergeCell ref="F27:F28"/>
    <mergeCell ref="G27:G28"/>
    <mergeCell ref="H27:H28"/>
    <mergeCell ref="I27:I28"/>
    <mergeCell ref="J27:J28"/>
  </mergeCells>
  <pageMargins left="0.7" right="0.7" top="0.75" bottom="0.75" header="0.3" footer="0.3"/>
  <pageSetup scale="67" orientation="portrait" r:id="rId1"/>
  <headerFooter>
    <oddFooter>&amp;L&amp;A&amp;C&amp;F&amp;R&amp;D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Title</vt:lpstr>
      <vt:lpstr>T1 Summary</vt:lpstr>
      <vt:lpstr>T2 Calendar, Small Farm</vt:lpstr>
      <vt:lpstr>T3 Budget, Small Farm</vt:lpstr>
      <vt:lpstr>T4-T5 Mach. Costs, Small Farm</vt:lpstr>
      <vt:lpstr>T6 Calendar, Large Farm</vt:lpstr>
      <vt:lpstr>T7 Budget, Large Farm </vt:lpstr>
      <vt:lpstr>T8-T9 Mach. Costs, Large Farm</vt:lpstr>
      <vt:lpstr>'T1 Summary'!Print_Area</vt:lpstr>
      <vt:lpstr>'T2 Calendar, Small Farm'!Print_Area</vt:lpstr>
      <vt:lpstr>'T3 Budget, Small Farm'!Print_Area</vt:lpstr>
      <vt:lpstr>'T4-T5 Mach. Costs, Small Farm'!Print_Area</vt:lpstr>
      <vt:lpstr>'T6 Calendar, Large Farm'!Print_Area</vt:lpstr>
      <vt:lpstr>'T7 Budget, Large Farm '!Print_Area</vt:lpstr>
      <vt:lpstr>'T8-T9 Mach. Costs, Large Farm'!Print_Area</vt:lpstr>
      <vt:lpstr>'T3 Budget, Small Farm'!Print_Titles</vt:lpstr>
      <vt:lpstr>'T7 Budget, Large Farm '!Print_Titles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Kate Painter</cp:lastModifiedBy>
  <cp:lastPrinted>2010-12-02T23:31:42Z</cp:lastPrinted>
  <dcterms:created xsi:type="dcterms:W3CDTF">2008-07-18T23:08:59Z</dcterms:created>
  <dcterms:modified xsi:type="dcterms:W3CDTF">2011-02-07T20:08:02Z</dcterms:modified>
</cp:coreProperties>
</file>